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30" windowHeight="11760" tabRatio="601" activeTab="3"/>
  </bookViews>
  <sheets>
    <sheet name="основной" sheetId="1" r:id="rId1"/>
    <sheet name="подводящий" sheetId="2" r:id="rId2"/>
    <sheet name="ю25" sheetId="3" r:id="rId3"/>
    <sheet name="юниоры" sheetId="4" r:id="rId4"/>
    <sheet name="юноши" sheetId="5" r:id="rId5"/>
  </sheets>
  <definedNames>
    <definedName name="_xlnm._FilterDatabase" localSheetId="3" hidden="1">юниоры!$E$1:$E$87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4" l="1"/>
  <c r="F66" i="4"/>
  <c r="F16" i="4"/>
  <c r="F18" i="4"/>
  <c r="F53" i="4"/>
  <c r="F12" i="2"/>
  <c r="F6" i="2"/>
  <c r="F15" i="2"/>
  <c r="F7" i="2"/>
  <c r="F8" i="2"/>
  <c r="F17" i="5" l="1"/>
  <c r="F15" i="5"/>
  <c r="F16" i="5"/>
  <c r="F10" i="5"/>
  <c r="F8" i="5"/>
  <c r="F11" i="5"/>
  <c r="F13" i="5"/>
  <c r="F7" i="5"/>
  <c r="F9" i="5"/>
  <c r="F6" i="5"/>
  <c r="AP17" i="5"/>
  <c r="AP15" i="5"/>
  <c r="AP16" i="5"/>
  <c r="AP10" i="5"/>
  <c r="AP8" i="5"/>
  <c r="AP11" i="5"/>
  <c r="AP13" i="5"/>
  <c r="AP7" i="5"/>
  <c r="AP9" i="5"/>
  <c r="AP6" i="5"/>
  <c r="AN17" i="5"/>
  <c r="AN15" i="5"/>
  <c r="AN16" i="5"/>
  <c r="AN10" i="5"/>
  <c r="AN8" i="5"/>
  <c r="AN11" i="5"/>
  <c r="AN13" i="5"/>
  <c r="AN7" i="5"/>
  <c r="AN9" i="5"/>
  <c r="AN6" i="5"/>
  <c r="AL17" i="5"/>
  <c r="AL15" i="5"/>
  <c r="AL16" i="5"/>
  <c r="AL10" i="5"/>
  <c r="AL8" i="5"/>
  <c r="AL11" i="5"/>
  <c r="AL13" i="5"/>
  <c r="AL7" i="5"/>
  <c r="AL9" i="5"/>
  <c r="AL6" i="5"/>
  <c r="F15" i="4"/>
  <c r="F12" i="4"/>
  <c r="F11" i="4"/>
  <c r="F5" i="4"/>
  <c r="F6" i="4"/>
  <c r="AF16" i="4"/>
  <c r="AF18" i="4"/>
  <c r="AF15" i="4"/>
  <c r="AF12" i="4"/>
  <c r="AF7" i="4"/>
  <c r="AF11" i="4"/>
  <c r="AF5" i="4"/>
  <c r="AF6" i="4"/>
  <c r="F11" i="2"/>
  <c r="F10" i="2"/>
  <c r="F9" i="2"/>
  <c r="F5" i="2"/>
  <c r="AV10" i="2"/>
  <c r="AV11" i="2"/>
  <c r="AV7" i="2"/>
  <c r="AV6" i="2"/>
  <c r="AV9" i="2"/>
  <c r="AV5" i="2"/>
  <c r="AT12" i="2"/>
  <c r="AT11" i="2"/>
  <c r="AT10" i="2"/>
  <c r="AT7" i="2"/>
  <c r="AT6" i="2"/>
  <c r="AT9" i="2"/>
  <c r="AT5" i="2"/>
  <c r="AR12" i="2"/>
  <c r="AR11" i="2"/>
  <c r="AR10" i="2"/>
  <c r="AR7" i="2"/>
  <c r="AR6" i="2"/>
  <c r="AR9" i="2"/>
  <c r="AR5" i="2"/>
  <c r="F18" i="5" l="1"/>
  <c r="AH18" i="5"/>
  <c r="AF18" i="5"/>
  <c r="F18" i="2" l="1"/>
  <c r="F17" i="2"/>
  <c r="F14" i="2"/>
  <c r="F16" i="2"/>
  <c r="F13" i="2"/>
  <c r="F28" i="2"/>
  <c r="V11" i="4"/>
  <c r="F18" i="1" l="1"/>
  <c r="F9" i="1"/>
  <c r="F10" i="1"/>
  <c r="F7" i="1"/>
  <c r="F5" i="1"/>
  <c r="F33" i="4"/>
  <c r="F22" i="4"/>
  <c r="F20" i="4"/>
  <c r="F14" i="4"/>
  <c r="F27" i="2"/>
  <c r="F26" i="2"/>
  <c r="F24" i="2"/>
  <c r="F22" i="2"/>
  <c r="F23" i="2"/>
  <c r="AJ9" i="5" l="1"/>
  <c r="AJ5" i="5"/>
  <c r="AH9" i="5"/>
  <c r="AH5" i="5"/>
  <c r="AF9" i="5"/>
  <c r="AF5" i="5"/>
  <c r="AJ5" i="2"/>
  <c r="AH5" i="2"/>
  <c r="AR7" i="1"/>
  <c r="AT7" i="1"/>
  <c r="F6" i="1"/>
  <c r="AP5" i="1"/>
  <c r="AP6" i="1"/>
  <c r="AN6" i="1" l="1"/>
  <c r="AN5" i="1"/>
  <c r="F51" i="4"/>
  <c r="F50" i="4"/>
  <c r="F49" i="4"/>
  <c r="F47" i="4"/>
  <c r="F48" i="4"/>
  <c r="F46" i="4"/>
  <c r="F45" i="4"/>
  <c r="F35" i="4"/>
  <c r="F29" i="4"/>
  <c r="F28" i="4"/>
  <c r="F25" i="4"/>
  <c r="F23" i="4"/>
  <c r="F21" i="4"/>
  <c r="F19" i="4"/>
  <c r="F17" i="4"/>
  <c r="X5" i="4"/>
  <c r="F21" i="2" l="1"/>
  <c r="F25" i="2"/>
  <c r="R11" i="2"/>
  <c r="X1" i="2" l="1"/>
  <c r="F19" i="1" l="1"/>
  <c r="F20" i="1"/>
  <c r="F17" i="1"/>
  <c r="F11" i="1"/>
  <c r="F57" i="4" l="1"/>
  <c r="F58" i="4"/>
  <c r="F59" i="4"/>
  <c r="F60" i="4"/>
  <c r="F61" i="4"/>
  <c r="F62" i="4"/>
  <c r="F63" i="4"/>
  <c r="F64" i="4"/>
  <c r="F65" i="4"/>
  <c r="F23" i="5" l="1"/>
  <c r="F36" i="5"/>
  <c r="F39" i="5"/>
  <c r="F40" i="5"/>
  <c r="F38" i="5"/>
  <c r="F33" i="5"/>
  <c r="F31" i="5"/>
  <c r="F34" i="5"/>
  <c r="F30" i="5"/>
  <c r="F28" i="5"/>
  <c r="F27" i="5"/>
  <c r="F25" i="5"/>
  <c r="F35" i="5"/>
  <c r="F26" i="5"/>
  <c r="F22" i="5"/>
  <c r="F32" i="5"/>
  <c r="F21" i="5"/>
  <c r="F29" i="5"/>
  <c r="F37" i="5"/>
  <c r="F20" i="5"/>
  <c r="F24" i="5"/>
  <c r="F19" i="2" l="1"/>
  <c r="X6" i="5"/>
  <c r="X9" i="5"/>
  <c r="X5" i="5"/>
  <c r="Z11" i="4" l="1"/>
  <c r="X11" i="4"/>
  <c r="Z5" i="4"/>
  <c r="V5" i="4"/>
  <c r="V8" i="5"/>
  <c r="V5" i="5"/>
  <c r="V9" i="5"/>
  <c r="V6" i="5"/>
  <c r="T8" i="5"/>
  <c r="T5" i="5"/>
  <c r="F5" i="5" s="1"/>
  <c r="T9" i="5"/>
  <c r="T6" i="5"/>
  <c r="T11" i="2" l="1"/>
  <c r="AB15" i="1"/>
  <c r="Z15" i="1"/>
  <c r="Z7" i="1"/>
  <c r="AB8" i="1"/>
  <c r="Z8" i="1"/>
  <c r="AB5" i="1"/>
  <c r="Z5" i="1"/>
  <c r="AB6" i="1"/>
  <c r="Z6" i="1"/>
  <c r="F36" i="4" l="1"/>
  <c r="F54" i="4"/>
  <c r="F43" i="4"/>
  <c r="F44" i="4"/>
  <c r="F34" i="4"/>
  <c r="F32" i="4"/>
  <c r="F26" i="4"/>
  <c r="F39" i="4" l="1"/>
  <c r="F41" i="4"/>
  <c r="F37" i="4"/>
  <c r="F42" i="4"/>
  <c r="F40" i="4"/>
  <c r="F30" i="4"/>
  <c r="F31" i="4"/>
  <c r="F52" i="4"/>
  <c r="F27" i="4"/>
  <c r="F24" i="1"/>
  <c r="F22" i="1"/>
  <c r="R14" i="5" l="1"/>
  <c r="R11" i="5"/>
  <c r="R19" i="5"/>
  <c r="R6" i="5"/>
  <c r="R13" i="5"/>
  <c r="R12" i="5"/>
  <c r="R7" i="5"/>
  <c r="R9" i="5"/>
  <c r="P11" i="5"/>
  <c r="P23" i="5"/>
  <c r="P19" i="5"/>
  <c r="P6" i="5"/>
  <c r="P13" i="5"/>
  <c r="P14" i="5"/>
  <c r="P12" i="5"/>
  <c r="P7" i="5"/>
  <c r="P9" i="5"/>
  <c r="N11" i="5"/>
  <c r="N23" i="5"/>
  <c r="N19" i="5"/>
  <c r="F19" i="5" s="1"/>
  <c r="N6" i="5"/>
  <c r="N13" i="5"/>
  <c r="N14" i="5"/>
  <c r="N12" i="5"/>
  <c r="F12" i="5" s="1"/>
  <c r="N7" i="5"/>
  <c r="N9" i="5"/>
  <c r="T7" i="4"/>
  <c r="T24" i="4"/>
  <c r="T6" i="4"/>
  <c r="T5" i="4"/>
  <c r="T10" i="4"/>
  <c r="T8" i="4"/>
  <c r="R5" i="4"/>
  <c r="R38" i="4"/>
  <c r="R7" i="4"/>
  <c r="R13" i="4"/>
  <c r="R24" i="4"/>
  <c r="R6" i="4"/>
  <c r="R9" i="4"/>
  <c r="R10" i="4"/>
  <c r="R8" i="4"/>
  <c r="P38" i="4"/>
  <c r="F38" i="4" s="1"/>
  <c r="P7" i="4"/>
  <c r="P13" i="4"/>
  <c r="F13" i="4" s="1"/>
  <c r="P24" i="4"/>
  <c r="P6" i="4"/>
  <c r="P9" i="4"/>
  <c r="F9" i="4" s="1"/>
  <c r="P5" i="4"/>
  <c r="P10" i="4"/>
  <c r="P8" i="4"/>
  <c r="F8" i="4" s="1"/>
  <c r="P5" i="2"/>
  <c r="N5" i="2"/>
  <c r="X14" i="1"/>
  <c r="V14" i="1"/>
  <c r="X8" i="1"/>
  <c r="F8" i="1" s="1"/>
  <c r="V8" i="1"/>
  <c r="R15" i="1"/>
  <c r="P15" i="1"/>
  <c r="R16" i="1"/>
  <c r="P16" i="1"/>
  <c r="R5" i="1"/>
  <c r="P5" i="1"/>
  <c r="R9" i="1"/>
  <c r="P9" i="1"/>
  <c r="R12" i="1"/>
  <c r="P12" i="1"/>
  <c r="R6" i="1"/>
  <c r="P6" i="1"/>
  <c r="F10" i="4" l="1"/>
  <c r="F12" i="1"/>
  <c r="F16" i="1"/>
  <c r="F15" i="1"/>
  <c r="F14" i="1"/>
  <c r="F14" i="5"/>
  <c r="F24" i="4"/>
  <c r="F20" i="2" l="1"/>
  <c r="A26" i="2" l="1"/>
  <c r="A15" i="2"/>
  <c r="A22" i="2"/>
  <c r="A27" i="2"/>
  <c r="A24" i="2"/>
  <c r="A28" i="2"/>
  <c r="A23" i="2"/>
  <c r="F21" i="1"/>
  <c r="F23" i="1"/>
  <c r="A23" i="1" l="1"/>
  <c r="A21" i="1"/>
  <c r="A22" i="1"/>
  <c r="A6" i="1"/>
  <c r="A8" i="1"/>
  <c r="A9" i="1"/>
  <c r="A15" i="1"/>
  <c r="A10" i="1"/>
  <c r="A19" i="1"/>
  <c r="A18" i="1"/>
  <c r="A24" i="1"/>
  <c r="A13" i="1"/>
  <c r="A11" i="1"/>
  <c r="A14" i="1"/>
  <c r="A12" i="1"/>
  <c r="A7" i="1"/>
  <c r="A17" i="1"/>
  <c r="A20" i="1"/>
  <c r="A16" i="1"/>
  <c r="A5" i="1"/>
  <c r="F56" i="4"/>
  <c r="A53" i="4" s="1"/>
  <c r="A33" i="4" l="1"/>
  <c r="A48" i="4"/>
  <c r="A47" i="4"/>
  <c r="A46" i="4"/>
  <c r="A65" i="4"/>
  <c r="A49" i="4"/>
  <c r="A50" i="4"/>
  <c r="A51" i="4"/>
  <c r="A5" i="2"/>
  <c r="A6" i="2"/>
  <c r="A16" i="2"/>
  <c r="A8" i="2"/>
  <c r="A19" i="2"/>
  <c r="A21" i="2"/>
  <c r="A7" i="2"/>
  <c r="A17" i="2"/>
  <c r="A18" i="2"/>
  <c r="A10" i="2"/>
  <c r="A20" i="2"/>
  <c r="A9" i="2"/>
  <c r="A13" i="2"/>
  <c r="A12" i="2"/>
  <c r="A14" i="2"/>
  <c r="A25" i="2"/>
  <c r="A11" i="2"/>
  <c r="A56" i="4"/>
  <c r="A31" i="4"/>
  <c r="A35" i="4"/>
  <c r="A38" i="4"/>
  <c r="A62" i="4"/>
  <c r="A23" i="4"/>
  <c r="A6" i="4"/>
  <c r="A25" i="4"/>
  <c r="A21" i="4"/>
  <c r="A17" i="4"/>
  <c r="A61" i="4"/>
  <c r="A34" i="4"/>
  <c r="A42" i="4"/>
  <c r="A12" i="4"/>
  <c r="A27" i="4"/>
  <c r="A32" i="4"/>
  <c r="A15" i="4"/>
  <c r="A60" i="4"/>
  <c r="A37" i="4"/>
  <c r="A7" i="4"/>
  <c r="A29" i="4"/>
  <c r="A59" i="4"/>
  <c r="A19" i="4"/>
  <c r="A58" i="4"/>
  <c r="A30" i="4"/>
  <c r="A52" i="4"/>
  <c r="A11" i="4"/>
  <c r="A16" i="4"/>
  <c r="A24" i="4"/>
  <c r="A8" i="4"/>
  <c r="A39" i="4"/>
  <c r="A45" i="4"/>
  <c r="A14" i="4"/>
  <c r="A41" i="4"/>
  <c r="A40" i="4"/>
  <c r="A20" i="4"/>
  <c r="A18" i="4"/>
  <c r="A54" i="4"/>
  <c r="A43" i="4"/>
  <c r="A57" i="4"/>
  <c r="A13" i="4"/>
  <c r="A10" i="4"/>
  <c r="A44" i="4"/>
  <c r="A22" i="4"/>
  <c r="A9" i="4"/>
  <c r="A63" i="4"/>
  <c r="A28" i="4"/>
  <c r="A36" i="4"/>
  <c r="A55" i="4"/>
  <c r="A64" i="4"/>
  <c r="A5" i="4"/>
  <c r="A26" i="4"/>
  <c r="N5" i="3"/>
  <c r="L5" i="3"/>
  <c r="P5" i="3"/>
  <c r="R5" i="3"/>
  <c r="T5" i="3"/>
  <c r="V5" i="3"/>
  <c r="F5" i="3" l="1"/>
  <c r="F50" i="5"/>
  <c r="F49" i="5"/>
  <c r="F48" i="5"/>
  <c r="F47" i="5"/>
  <c r="F46" i="5"/>
  <c r="F45" i="5"/>
  <c r="F44" i="5"/>
  <c r="F43" i="5"/>
  <c r="F42" i="5"/>
  <c r="F41" i="5"/>
  <c r="F52" i="5" l="1"/>
  <c r="F51" i="5"/>
  <c r="F56" i="5"/>
  <c r="F53" i="5"/>
  <c r="F61" i="5"/>
  <c r="F58" i="5"/>
  <c r="F54" i="5"/>
  <c r="F55" i="5"/>
  <c r="F62" i="5"/>
  <c r="F60" i="5"/>
  <c r="F59" i="5"/>
  <c r="F57" i="5"/>
  <c r="A57" i="5" l="1"/>
  <c r="A60" i="5"/>
  <c r="A46" i="5"/>
  <c r="A58" i="5"/>
  <c r="A59" i="5"/>
  <c r="A54" i="5"/>
  <c r="A56" i="5"/>
  <c r="A48" i="5"/>
  <c r="A26" i="5"/>
  <c r="A30" i="5"/>
  <c r="A12" i="5"/>
  <c r="A14" i="5"/>
  <c r="A21" i="5"/>
  <c r="A9" i="5"/>
  <c r="A20" i="5"/>
  <c r="A28" i="5"/>
  <c r="A17" i="5"/>
  <c r="A33" i="5"/>
  <c r="A49" i="5"/>
  <c r="A43" i="5"/>
  <c r="A53" i="5"/>
  <c r="A34" i="5"/>
  <c r="A7" i="5"/>
  <c r="A36" i="5"/>
  <c r="A23" i="5"/>
  <c r="A10" i="5"/>
  <c r="A16" i="5"/>
  <c r="A19" i="5"/>
  <c r="A13" i="5"/>
  <c r="A8" i="5"/>
  <c r="A18" i="5"/>
  <c r="A41" i="5"/>
  <c r="A42" i="5"/>
  <c r="A55" i="5"/>
  <c r="A47" i="5"/>
  <c r="A62" i="5"/>
  <c r="A61" i="5"/>
  <c r="A52" i="5"/>
  <c r="A45" i="5"/>
  <c r="A37" i="5"/>
  <c r="A24" i="5"/>
  <c r="A64" i="5"/>
  <c r="A29" i="5"/>
  <c r="A5" i="5"/>
  <c r="A25" i="5"/>
  <c r="A22" i="5"/>
  <c r="A63" i="5"/>
  <c r="A27" i="5"/>
  <c r="A66" i="5"/>
  <c r="A51" i="5"/>
  <c r="A44" i="5"/>
  <c r="A40" i="5"/>
  <c r="A31" i="5"/>
  <c r="A65" i="5"/>
  <c r="A39" i="5"/>
  <c r="A6" i="5"/>
  <c r="A38" i="5"/>
  <c r="A11" i="5"/>
  <c r="A15" i="5"/>
  <c r="A32" i="5"/>
  <c r="A35" i="5"/>
  <c r="A50" i="5"/>
  <c r="F8" i="3"/>
  <c r="F6" i="3"/>
  <c r="F7" i="3"/>
  <c r="A7" i="3" s="1"/>
  <c r="A8" i="3" l="1"/>
  <c r="A6" i="3"/>
  <c r="A10" i="3"/>
  <c r="A14" i="3"/>
  <c r="A18" i="3"/>
  <c r="A9" i="3"/>
  <c r="A13" i="3"/>
  <c r="A17" i="3"/>
  <c r="A12" i="3"/>
  <c r="A16" i="3"/>
  <c r="A20" i="3"/>
  <c r="A11" i="3"/>
  <c r="A15" i="3"/>
  <c r="A19" i="3"/>
  <c r="A5" i="3"/>
</calcChain>
</file>

<file path=xl/sharedStrings.xml><?xml version="1.0" encoding="utf-8"?>
<sst xmlns="http://schemas.openxmlformats.org/spreadsheetml/2006/main" count="801" uniqueCount="271">
  <si>
    <t>место</t>
  </si>
  <si>
    <t>Всадник</t>
  </si>
  <si>
    <t>Лошадь</t>
  </si>
  <si>
    <t>БАЛЛЫ</t>
  </si>
  <si>
    <t>Фамилия, имя</t>
  </si>
  <si>
    <t>г.р.</t>
  </si>
  <si>
    <t>сп. раз-д</t>
  </si>
  <si>
    <t>Кличка - г.р.</t>
  </si>
  <si>
    <t>БП</t>
  </si>
  <si>
    <t>БПС</t>
  </si>
  <si>
    <t>КЮР БП</t>
  </si>
  <si>
    <t>Карасева Анна</t>
  </si>
  <si>
    <t>мсмк</t>
  </si>
  <si>
    <t>ЗОДИАК-08</t>
  </si>
  <si>
    <t>%</t>
  </si>
  <si>
    <t>баллы</t>
  </si>
  <si>
    <t>ЕФРЕМОВА Екатерина</t>
  </si>
  <si>
    <t>ЛАТИНО-06</t>
  </si>
  <si>
    <t>ЯРОШЕВИЧ Вероника</t>
  </si>
  <si>
    <t>мс</t>
  </si>
  <si>
    <t>БОЛИВАР-07</t>
  </si>
  <si>
    <t>ДОВГЯЛЛО-ГЕЦ Наталия</t>
  </si>
  <si>
    <t>ДУДКОВА Анастасия</t>
  </si>
  <si>
    <t>ГОФМАН-08</t>
  </si>
  <si>
    <t>БАЛТИМОР ДИ-11</t>
  </si>
  <si>
    <t>КАРАСЕВА Анна</t>
  </si>
  <si>
    <t>АРЛЕКИНО-06</t>
  </si>
  <si>
    <t>кмс</t>
  </si>
  <si>
    <t>НИКОНОРОВА Алла</t>
  </si>
  <si>
    <t>ЗАБАВА-10</t>
  </si>
  <si>
    <t>САФРОНОВА Ольга</t>
  </si>
  <si>
    <t>ФЕСЬКОВА Карина</t>
  </si>
  <si>
    <t>КЛАССИК-03</t>
  </si>
  <si>
    <t>ДОН БЕЛИССИМО-12</t>
  </si>
  <si>
    <r>
      <rPr>
        <sz val="11"/>
        <rFont val="Calibri"/>
        <family val="2"/>
        <charset val="204"/>
        <scheme val="minor"/>
      </rPr>
      <t>МАКСИМИЛИАН
ФОН ГЕЦ-03</t>
    </r>
  </si>
  <si>
    <t>САНДРО ДЕ АМУР-08</t>
  </si>
  <si>
    <t>СП1</t>
  </si>
  <si>
    <t>КЮР СП1</t>
  </si>
  <si>
    <t>ДУГЛАС-08</t>
  </si>
  <si>
    <t>МАРКИНА Валерия</t>
  </si>
  <si>
    <t>ЛИБЕРВИЛЬ-07</t>
  </si>
  <si>
    <t>ПАВЛЕНКО Варвара</t>
  </si>
  <si>
    <t>БАНАВУР-07</t>
  </si>
  <si>
    <t>СУДЖЕНКО Мария</t>
  </si>
  <si>
    <t>ДЕПОЗИТ-04</t>
  </si>
  <si>
    <t>БЕЛОУСОВА Людмила</t>
  </si>
  <si>
    <t>БАРБАРИС-13</t>
  </si>
  <si>
    <t>ПРОТОГОР-12</t>
  </si>
  <si>
    <t>БАНАВУР-13</t>
  </si>
  <si>
    <t>ВАГНЕР Вальдемар</t>
  </si>
  <si>
    <t>ПЕРСИВАЛЬ-12</t>
  </si>
  <si>
    <t>ЗАВЕТНАЯ-12</t>
  </si>
  <si>
    <t>ТЕРАХОВИЧ Виктория</t>
  </si>
  <si>
    <t>БУРАВЧИК-12</t>
  </si>
  <si>
    <t>ЛЮКСОТ-11</t>
  </si>
  <si>
    <t>АТРОШКОВА Анастасия</t>
  </si>
  <si>
    <t>ВИКИНГ-02</t>
  </si>
  <si>
    <t>БОНДАРЬ Анастасия</t>
  </si>
  <si>
    <t>ДЕКАБРИНА-03</t>
  </si>
  <si>
    <t>КУХЛЕВСКАЯ Дарья</t>
  </si>
  <si>
    <t>ПЕЧЕРСК-08</t>
  </si>
  <si>
    <t>ДИТРИХ-01</t>
  </si>
  <si>
    <t>САЗОНОВА Александра</t>
  </si>
  <si>
    <t>ЛЕЙПЦИГ-09</t>
  </si>
  <si>
    <t>САФОНОВА Екатерина</t>
  </si>
  <si>
    <t>ВАКСАЙД-07</t>
  </si>
  <si>
    <t>СЕМЕЙКО Елизавета</t>
  </si>
  <si>
    <t>БАМБУК-10</t>
  </si>
  <si>
    <t>ЦАРЕВА Елизавета</t>
  </si>
  <si>
    <t>ГРОСС-07</t>
  </si>
  <si>
    <t>ЯНКОВСКАЯ Анастасия</t>
  </si>
  <si>
    <t>ВАТИКАН-03</t>
  </si>
  <si>
    <t>СП2</t>
  </si>
  <si>
    <t>БП U25</t>
  </si>
  <si>
    <t>СЕРЖАНОВИЧ Алеся</t>
  </si>
  <si>
    <t>ВОЛШЕБНИК-12</t>
  </si>
  <si>
    <t>МП</t>
  </si>
  <si>
    <t>КУЛИК Яна</t>
  </si>
  <si>
    <t>ГЕХАРД-03</t>
  </si>
  <si>
    <t>ПРИЙСК-07</t>
  </si>
  <si>
    <t>ЮРУЦ Виктория</t>
  </si>
  <si>
    <t>СЕЗАР-11</t>
  </si>
  <si>
    <t>ЕРШОВА Анастасия</t>
  </si>
  <si>
    <t>ЛИБЕРАЛ-10</t>
  </si>
  <si>
    <t>ДОЛГАТ-12</t>
  </si>
  <si>
    <t>ГРАБОВСКАЯ Леонарда</t>
  </si>
  <si>
    <t>ОЛЬБРЕХТ-07</t>
  </si>
  <si>
    <t>АНАНИЧ Дарья</t>
  </si>
  <si>
    <t>ГРЕНОБЛЬ-09</t>
  </si>
  <si>
    <t>ПЕЧЕНЕВА Татьяна</t>
  </si>
  <si>
    <t>ТАШКЕНТ-09</t>
  </si>
  <si>
    <t>ЧРБ в помещении (Ратомка)                17.03.20-21.03.20</t>
  </si>
  <si>
    <t>АНДРЕЙКИНА Виктория</t>
  </si>
  <si>
    <t>б/р</t>
  </si>
  <si>
    <t>ГРИЦУК Анастасия</t>
  </si>
  <si>
    <t>ДМИТРОЧЕНКО Амелия</t>
  </si>
  <si>
    <t>ДУБРОВСКАЯ Анастасия</t>
  </si>
  <si>
    <t>ЕСИПОВА Александра</t>
  </si>
  <si>
    <t>ЖИГАРЕВИЧ Анастасия</t>
  </si>
  <si>
    <t>ЖУРИНА Анна</t>
  </si>
  <si>
    <t>ЗАГАЛЬСКАЯ Александра</t>
  </si>
  <si>
    <t>ЗЕНЬКО Анна</t>
  </si>
  <si>
    <t>КОСЕНОК Полина</t>
  </si>
  <si>
    <t>КОСТЕВИЧ Нина</t>
  </si>
  <si>
    <t>КОСТЮК Виктория</t>
  </si>
  <si>
    <t>КРОМ Анастасия</t>
  </si>
  <si>
    <t>КУЛЕШОВА Мария</t>
  </si>
  <si>
    <t xml:space="preserve">КУЛИК Яна </t>
  </si>
  <si>
    <t>ЛАГУН Варвара</t>
  </si>
  <si>
    <t xml:space="preserve">ЛЕМЕШОВА Дарья </t>
  </si>
  <si>
    <t>ЛЕЩЕНКО Валерия</t>
  </si>
  <si>
    <t>МАЛЕНКО Милена</t>
  </si>
  <si>
    <t>МАСЛОВА Янина</t>
  </si>
  <si>
    <t>НИКОНОРОВА Анастасия</t>
  </si>
  <si>
    <t>ОКСЕНЮК Ева</t>
  </si>
  <si>
    <t xml:space="preserve">ПЕЧЕНЕВА Татьяна </t>
  </si>
  <si>
    <t>ПИЛЬНИК Виктория</t>
  </si>
  <si>
    <t>ПОДКОВКО Валерия</t>
  </si>
  <si>
    <t>ПРЕСНЯКОВА Екатерина</t>
  </si>
  <si>
    <t>ПУСКОВА София</t>
  </si>
  <si>
    <t xml:space="preserve">ПУЦЯТА Елизавета </t>
  </si>
  <si>
    <t xml:space="preserve">ПУЧКО Алина </t>
  </si>
  <si>
    <t>САВИЦКАЯ Алина</t>
  </si>
  <si>
    <t>САЙКО Елена</t>
  </si>
  <si>
    <t>СЕНЮКОВА Дарья</t>
  </si>
  <si>
    <t xml:space="preserve">СОЛОНОВИЧ Юлия </t>
  </si>
  <si>
    <t>СТАНКЕВИЧ Диана</t>
  </si>
  <si>
    <t xml:space="preserve">СТЕЖКО Нина </t>
  </si>
  <si>
    <t>ТИМОХОВИЧ Валерия</t>
  </si>
  <si>
    <t>ТИЩЕНКО Юлия</t>
  </si>
  <si>
    <t xml:space="preserve">ЧЕРНЯК Ариана </t>
  </si>
  <si>
    <t xml:space="preserve">ЮРУЦ Виктория </t>
  </si>
  <si>
    <t>ЮХНОВИЧ Анна</t>
  </si>
  <si>
    <t>КЮР</t>
  </si>
  <si>
    <t>ЛП</t>
  </si>
  <si>
    <t>КП</t>
  </si>
  <si>
    <t>БЕЛЬСКАЯ Полина</t>
  </si>
  <si>
    <t>ВЕРЕНКОВА Дарья</t>
  </si>
  <si>
    <t>ГИБСОН-08</t>
  </si>
  <si>
    <t>СОЛОНОВИЧ Юлия</t>
  </si>
  <si>
    <t>ЭСКАБАР-10</t>
  </si>
  <si>
    <t>ДАРК-РУБИНА-02</t>
  </si>
  <si>
    <t>ДАЙВЕР-11</t>
  </si>
  <si>
    <t>ГАЙРЕХ-11</t>
  </si>
  <si>
    <t>ЛЕМЕШОВА Дарья</t>
  </si>
  <si>
    <t>СИЭТЛ-03</t>
  </si>
  <si>
    <t>БРИОНИ-07</t>
  </si>
  <si>
    <t>ВАЛЛИ-13</t>
  </si>
  <si>
    <t>СТЕЖКО Нина</t>
  </si>
  <si>
    <t>ГОЛДФАЙЕР-07</t>
  </si>
  <si>
    <t xml:space="preserve">НИКОНОРОВА Анастасия </t>
  </si>
  <si>
    <t>РЭДФОРД-97</t>
  </si>
  <si>
    <t>ГЕДЕМИН-12</t>
  </si>
  <si>
    <t>БЕЛЕВИЧ Екатерина</t>
  </si>
  <si>
    <t>ЗАМОРА-04</t>
  </si>
  <si>
    <t>Budapest region - Pilisjászfalu HUN CH-EU-U25-D</t>
  </si>
  <si>
    <t>62.147</t>
  </si>
  <si>
    <t>61.308</t>
  </si>
  <si>
    <t>27/06/2020 Mariakalnok HUN CDIU25</t>
  </si>
  <si>
    <t>07/08/2020 Budapest region - Pilisjászfalu HUN CDIU25</t>
  </si>
  <si>
    <t xml:space="preserve"> КЮР БП U25</t>
  </si>
  <si>
    <t>65.949</t>
  </si>
  <si>
    <t>67.710</t>
  </si>
  <si>
    <t>64.177</t>
  </si>
  <si>
    <t>62.846</t>
  </si>
  <si>
    <t>ПЕРЛ ХАРБОР-12</t>
  </si>
  <si>
    <t>Доватор (Ратомка)                09.09.20-03.10.20</t>
  </si>
  <si>
    <t>АВОКАДО-12</t>
  </si>
  <si>
    <t>ОГЮСТ-09</t>
  </si>
  <si>
    <t>СЕГЮР-11</t>
  </si>
  <si>
    <t xml:space="preserve">     </t>
  </si>
  <si>
    <t>ЧРБ в помещении (Ратомка) 16-20.03.21</t>
  </si>
  <si>
    <t>БП(сокр)</t>
  </si>
  <si>
    <t>ВИВАТ -10</t>
  </si>
  <si>
    <t>ЖУКОВА Ирина</t>
  </si>
  <si>
    <t>МАКСИМИЛИАН
ФОН ГЕЦ-03</t>
  </si>
  <si>
    <t xml:space="preserve">ТИХОНЧУК Елена </t>
  </si>
  <si>
    <t>ЧРБ в помещении (Ратомка)16-20.03.21</t>
  </si>
  <si>
    <t>ПЕЗАРО-14</t>
  </si>
  <si>
    <t>ГЛАДКАЯ Анастасия</t>
  </si>
  <si>
    <t>КАРИБО-14</t>
  </si>
  <si>
    <t>КОЛОС Карина</t>
  </si>
  <si>
    <t>СЛЕНГ-14</t>
  </si>
  <si>
    <t>ВОЛКОВА София</t>
  </si>
  <si>
    <t xml:space="preserve"> </t>
  </si>
  <si>
    <t>ИГУМЕНЦЕВА Ольга</t>
  </si>
  <si>
    <t>БП ЭКМ</t>
  </si>
  <si>
    <t>СП 1</t>
  </si>
  <si>
    <t>КЮР СП 1</t>
  </si>
  <si>
    <t>КУЛЬБИЦКАЯ Елизавета</t>
  </si>
  <si>
    <t>НЕМИРО Вероника</t>
  </si>
  <si>
    <t>ПРБ юноши</t>
  </si>
  <si>
    <t>ПУТЯТА Елизавета</t>
  </si>
  <si>
    <t>ЧЕРНЯК Ариана</t>
  </si>
  <si>
    <t>ЭКШН -СТАР</t>
  </si>
  <si>
    <t>ГУДВИН-04</t>
  </si>
  <si>
    <t xml:space="preserve">АНАНИЧ Дарья </t>
  </si>
  <si>
    <t>ПЕРС-09</t>
  </si>
  <si>
    <t xml:space="preserve">КУЛЬБИЦКАЯ Елизавета </t>
  </si>
  <si>
    <t>ДАНСВИЛ-06</t>
  </si>
  <si>
    <t>ГАМБИТ-07</t>
  </si>
  <si>
    <t>ГЛАГОЛ-05</t>
  </si>
  <si>
    <t>ЗАГРЕБ-09</t>
  </si>
  <si>
    <t>ЭД ХАРДИ-05</t>
  </si>
  <si>
    <t>ЭКМ Н.Новгород 12-13 .06.21</t>
  </si>
  <si>
    <t>МС Н.Новгород 12-13.06.21</t>
  </si>
  <si>
    <t>МС юноши 15-18.04.2021 Ратомка</t>
  </si>
  <si>
    <t>Чемпионат Евразии 15-18.07.2021г. Максима</t>
  </si>
  <si>
    <t>66.9</t>
  </si>
  <si>
    <t>ПУЧКО Полина</t>
  </si>
  <si>
    <t>Чемпионат Евразии 15-18.07.2021 Максима</t>
  </si>
  <si>
    <t>ВОРОНОВА-ГРИНКЕВИЧ Виктория</t>
  </si>
  <si>
    <t>МАЛЬПА-12</t>
  </si>
  <si>
    <t>КУИС Аллина</t>
  </si>
  <si>
    <t>САДОВА Алена</t>
  </si>
  <si>
    <t xml:space="preserve">МАЛЕНКО Милена </t>
  </si>
  <si>
    <t>ПАНКРАТОВА Кристина</t>
  </si>
  <si>
    <t>КОНДРАТЕНКО Анна</t>
  </si>
  <si>
    <t>ЛЕКУНОВИЧ Елизавета</t>
  </si>
  <si>
    <t>ЕВДОКИМЕНКО Яна</t>
  </si>
  <si>
    <t>СЕРГАЧЕВА Диана</t>
  </si>
  <si>
    <t>КЛИМОВЕЦ Анастасия</t>
  </si>
  <si>
    <t>МЫСЛЕЙКО Стефания</t>
  </si>
  <si>
    <t>ЯЖЕВИЧ Каролина</t>
  </si>
  <si>
    <t>мп</t>
  </si>
  <si>
    <t>сп1</t>
  </si>
  <si>
    <t>кюр сп1</t>
  </si>
  <si>
    <t>Чемпионат Беларуси 17-21.08.2021</t>
  </si>
  <si>
    <t>кюрсп1</t>
  </si>
  <si>
    <t>БПС сокр</t>
  </si>
  <si>
    <t>Вязович Юлия</t>
  </si>
  <si>
    <t>ЛЕГРАНД-13</t>
  </si>
  <si>
    <t>ОБОРОТ-06</t>
  </si>
  <si>
    <t>ПОНТИАК-03</t>
  </si>
  <si>
    <t>ГАМБЕРГ-14</t>
  </si>
  <si>
    <t>БАХОР-12</t>
  </si>
  <si>
    <t>ДИЗАЙН-14</t>
  </si>
  <si>
    <t>МС 2* Ратомка 15-18.04.2021</t>
  </si>
  <si>
    <t>ЭКМ Отрада 4-5.09.2021</t>
  </si>
  <si>
    <t>Бпсокр</t>
  </si>
  <si>
    <t>МС 3* Отрада 4-5.09.2021</t>
  </si>
  <si>
    <t>МС Отрада 3-5.09.2021</t>
  </si>
  <si>
    <t>Кубок Республики Беларусь памяти Л.М.Доватора 14-18.09.2021</t>
  </si>
  <si>
    <t>МАКАРЕВИЧ Светлана</t>
  </si>
  <si>
    <t>ЭКШН-СТАР-14</t>
  </si>
  <si>
    <t>СОКОЛОВА Виктория</t>
  </si>
  <si>
    <t>ФАВРИАНО-12</t>
  </si>
  <si>
    <t>Баллы</t>
  </si>
  <si>
    <t>Кубок РБ Доватор 14-18.09.21</t>
  </si>
  <si>
    <t>БП сокращенный</t>
  </si>
  <si>
    <t>ОСНОВНОЙ РЕЙТИНГ ПО ВЫЕЗДКЕ 2021</t>
  </si>
  <si>
    <t>ПОДВОДЯЩИЙ РЕЙТИНГ ПО ВЫЕЗДКЕ 2021</t>
  </si>
  <si>
    <t>РЕЙТИНГ ПО ВЫЕЗДКЕ ЮНИОРЫ 2021</t>
  </si>
  <si>
    <t>РЕЙТИНГ ПО ВЫЕЗДКЕ ЮНОШИ 2021</t>
  </si>
  <si>
    <t>РЕЙТИНГ ПО ВЫЕЗДКЕ ЮНИОРЫ ДО 25 ЛЕТ 2020</t>
  </si>
  <si>
    <t>ЭКМ  Ратомка 15-18. 04.2021</t>
  </si>
  <si>
    <t>МС3* Ратомка 15-18.04.2021</t>
  </si>
  <si>
    <t>Республиканские соревнования по выездке           27-31.07.2021</t>
  </si>
  <si>
    <t>КЮРСП1</t>
  </si>
  <si>
    <t>ПРБ юниоры 5-8.05.2021</t>
  </si>
  <si>
    <t>ЧРБ в помещении 16-20.03.2021</t>
  </si>
  <si>
    <t>МС Ратомка 25-18.03.2021</t>
  </si>
  <si>
    <t>Чемпионат Беларуси          17-28.08.2021</t>
  </si>
  <si>
    <t>Кубок РБ Доватор       14-18.09.21</t>
  </si>
  <si>
    <t>Первенство Беларуси среди юношей       27-31.08.2021</t>
  </si>
  <si>
    <t>ПЕРЛ-ХАРБОР-12</t>
  </si>
  <si>
    <t>ГОДУНОВ-12</t>
  </si>
  <si>
    <t>МС Ратомка 13-17.10.21</t>
  </si>
  <si>
    <t>МС Ратомка 13-17.10.2021г.</t>
  </si>
  <si>
    <t>РС Могилев 28-30.10.2021</t>
  </si>
  <si>
    <t>КУЛЕШОВАМария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</si>
</sst>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h:mm;@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rgb="FF353535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2">
    <xf numFmtId="0" fontId="0" fillId="0" borderId="0" xfId="0"/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/>
    <xf numFmtId="0" fontId="0" fillId="0" borderId="24" xfId="0" applyBorder="1"/>
    <xf numFmtId="0" fontId="0" fillId="0" borderId="16" xfId="0" applyBorder="1"/>
    <xf numFmtId="0" fontId="0" fillId="0" borderId="18" xfId="0" applyBorder="1"/>
    <xf numFmtId="0" fontId="0" fillId="0" borderId="36" xfId="0" applyBorder="1" applyAlignment="1">
      <alignment horizontal="center" vertical="center"/>
    </xf>
    <xf numFmtId="0" fontId="11" fillId="0" borderId="37" xfId="0" applyFont="1" applyFill="1" applyBorder="1" applyAlignment="1">
      <alignment horizontal="left" vertical="top" wrapText="1"/>
    </xf>
    <xf numFmtId="0" fontId="11" fillId="0" borderId="38" xfId="0" applyFont="1" applyFill="1" applyBorder="1" applyAlignment="1">
      <alignment horizontal="left" vertical="top" wrapText="1"/>
    </xf>
    <xf numFmtId="0" fontId="11" fillId="0" borderId="19" xfId="0" applyFont="1" applyFill="1" applyBorder="1" applyAlignment="1">
      <alignment horizontal="left" vertical="top" wrapText="1"/>
    </xf>
    <xf numFmtId="0" fontId="11" fillId="0" borderId="8" xfId="0" applyFont="1" applyFill="1" applyBorder="1" applyAlignment="1">
      <alignment horizontal="left" vertical="top" wrapText="1"/>
    </xf>
    <xf numFmtId="0" fontId="11" fillId="0" borderId="43" xfId="0" applyFont="1" applyFill="1" applyBorder="1" applyAlignment="1">
      <alignment horizontal="center" vertical="top" wrapText="1"/>
    </xf>
    <xf numFmtId="0" fontId="11" fillId="0" borderId="44" xfId="0" applyFont="1" applyFill="1" applyBorder="1" applyAlignment="1">
      <alignment horizontal="center" vertical="top" wrapText="1"/>
    </xf>
    <xf numFmtId="0" fontId="11" fillId="0" borderId="15" xfId="0" applyFont="1" applyFill="1" applyBorder="1" applyAlignment="1">
      <alignment horizontal="center" vertical="top" wrapText="1"/>
    </xf>
    <xf numFmtId="0" fontId="11" fillId="0" borderId="11" xfId="0" applyFont="1" applyFill="1" applyBorder="1" applyAlignment="1">
      <alignment horizontal="center" vertical="top" wrapText="1"/>
    </xf>
    <xf numFmtId="1" fontId="12" fillId="0" borderId="32" xfId="0" applyNumberFormat="1" applyFont="1" applyFill="1" applyBorder="1" applyAlignment="1">
      <alignment horizontal="center" vertical="top" shrinkToFit="1"/>
    </xf>
    <xf numFmtId="1" fontId="12" fillId="0" borderId="33" xfId="0" applyNumberFormat="1" applyFont="1" applyFill="1" applyBorder="1" applyAlignment="1">
      <alignment horizontal="center" vertical="top" shrinkToFit="1"/>
    </xf>
    <xf numFmtId="1" fontId="12" fillId="0" borderId="13" xfId="0" applyNumberFormat="1" applyFont="1" applyFill="1" applyBorder="1" applyAlignment="1">
      <alignment horizontal="center" vertical="top" shrinkToFit="1"/>
    </xf>
    <xf numFmtId="1" fontId="12" fillId="0" borderId="10" xfId="0" applyNumberFormat="1" applyFont="1" applyFill="1" applyBorder="1" applyAlignment="1">
      <alignment horizontal="center" vertical="top" shrinkToFit="1"/>
    </xf>
    <xf numFmtId="0" fontId="0" fillId="0" borderId="15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3" borderId="34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164" fontId="0" fillId="0" borderId="45" xfId="0" applyNumberFormat="1" applyBorder="1"/>
    <xf numFmtId="164" fontId="0" fillId="0" borderId="9" xfId="0" applyNumberFormat="1" applyBorder="1"/>
    <xf numFmtId="164" fontId="0" fillId="0" borderId="24" xfId="0" applyNumberFormat="1" applyBorder="1"/>
    <xf numFmtId="164" fontId="0" fillId="0" borderId="13" xfId="0" applyNumberFormat="1" applyBorder="1"/>
    <xf numFmtId="164" fontId="0" fillId="0" borderId="10" xfId="0" applyNumberFormat="1" applyBorder="1"/>
    <xf numFmtId="0" fontId="9" fillId="0" borderId="19" xfId="0" applyFont="1" applyFill="1" applyBorder="1" applyAlignment="1">
      <alignment horizontal="left" vertical="top" wrapText="1"/>
    </xf>
    <xf numFmtId="0" fontId="0" fillId="0" borderId="19" xfId="0" applyBorder="1"/>
    <xf numFmtId="0" fontId="0" fillId="0" borderId="50" xfId="0" applyBorder="1"/>
    <xf numFmtId="164" fontId="0" fillId="2" borderId="13" xfId="0" applyNumberFormat="1" applyFill="1" applyBorder="1"/>
    <xf numFmtId="0" fontId="11" fillId="0" borderId="13" xfId="0" applyFont="1" applyFill="1" applyBorder="1" applyAlignment="1">
      <alignment horizontal="center" vertical="top" wrapText="1"/>
    </xf>
    <xf numFmtId="164" fontId="0" fillId="0" borderId="51" xfId="0" applyNumberFormat="1" applyBorder="1"/>
    <xf numFmtId="164" fontId="0" fillId="0" borderId="18" xfId="0" applyNumberFormat="1" applyBorder="1"/>
    <xf numFmtId="0" fontId="0" fillId="3" borderId="26" xfId="0" applyFill="1" applyBorder="1"/>
    <xf numFmtId="0" fontId="0" fillId="3" borderId="19" xfId="0" applyFill="1" applyBorder="1"/>
    <xf numFmtId="0" fontId="0" fillId="3" borderId="8" xfId="0" applyFill="1" applyBorder="1"/>
    <xf numFmtId="0" fontId="0" fillId="0" borderId="45" xfId="0" applyBorder="1"/>
    <xf numFmtId="0" fontId="0" fillId="0" borderId="51" xfId="0" applyBorder="1"/>
    <xf numFmtId="0" fontId="0" fillId="0" borderId="25" xfId="0" applyBorder="1"/>
    <xf numFmtId="0" fontId="0" fillId="0" borderId="14" xfId="0" applyBorder="1" applyAlignment="1">
      <alignment horizontal="center"/>
    </xf>
    <xf numFmtId="0" fontId="0" fillId="0" borderId="50" xfId="0" applyBorder="1" applyAlignment="1">
      <alignment horizontal="center"/>
    </xf>
    <xf numFmtId="1" fontId="11" fillId="0" borderId="24" xfId="0" applyNumberFormat="1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1" fontId="11" fillId="0" borderId="13" xfId="0" applyNumberFormat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0" fillId="2" borderId="15" xfId="0" applyFill="1" applyBorder="1"/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164" fontId="0" fillId="2" borderId="45" xfId="0" applyNumberFormat="1" applyFill="1" applyBorder="1"/>
    <xf numFmtId="0" fontId="0" fillId="2" borderId="13" xfId="0" applyFill="1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9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0" fillId="0" borderId="13" xfId="0" applyFill="1" applyBorder="1"/>
    <xf numFmtId="0" fontId="0" fillId="2" borderId="16" xfId="0" applyFill="1" applyBorder="1"/>
    <xf numFmtId="0" fontId="0" fillId="0" borderId="35" xfId="0" applyBorder="1"/>
    <xf numFmtId="164" fontId="0" fillId="0" borderId="1" xfId="0" applyNumberFormat="1" applyBorder="1"/>
    <xf numFmtId="0" fontId="0" fillId="0" borderId="2" xfId="0" applyBorder="1"/>
    <xf numFmtId="164" fontId="0" fillId="0" borderId="2" xfId="0" applyNumberFormat="1" applyBorder="1"/>
    <xf numFmtId="0" fontId="0" fillId="0" borderId="3" xfId="0" applyBorder="1"/>
    <xf numFmtId="0" fontId="11" fillId="0" borderId="15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center" vertical="top" wrapText="1"/>
    </xf>
    <xf numFmtId="0" fontId="0" fillId="0" borderId="42" xfId="0" applyBorder="1"/>
    <xf numFmtId="0" fontId="0" fillId="0" borderId="52" xfId="0" applyBorder="1"/>
    <xf numFmtId="0" fontId="7" fillId="0" borderId="13" xfId="0" applyFont="1" applyBorder="1" applyAlignment="1">
      <alignment horizontal="center"/>
    </xf>
    <xf numFmtId="0" fontId="0" fillId="0" borderId="49" xfId="0" applyBorder="1" applyAlignment="1">
      <alignment horizontal="center" vertical="center"/>
    </xf>
    <xf numFmtId="1" fontId="12" fillId="0" borderId="13" xfId="0" applyNumberFormat="1" applyFont="1" applyFill="1" applyBorder="1" applyAlignment="1">
      <alignment horizontal="left" vertical="top" shrinkToFit="1"/>
    </xf>
    <xf numFmtId="1" fontId="12" fillId="0" borderId="24" xfId="0" applyNumberFormat="1" applyFont="1" applyFill="1" applyBorder="1" applyAlignment="1">
      <alignment horizontal="left" vertical="top" shrinkToFit="1"/>
    </xf>
    <xf numFmtId="0" fontId="11" fillId="0" borderId="24" xfId="0" applyFont="1" applyFill="1" applyBorder="1" applyAlignment="1">
      <alignment horizontal="center" vertical="top" wrapText="1"/>
    </xf>
    <xf numFmtId="0" fontId="11" fillId="0" borderId="25" xfId="0" applyFont="1" applyFill="1" applyBorder="1" applyAlignment="1">
      <alignment horizontal="left" vertical="top" wrapText="1"/>
    </xf>
    <xf numFmtId="0" fontId="11" fillId="0" borderId="16" xfId="0" applyFont="1" applyFill="1" applyBorder="1" applyAlignment="1">
      <alignment horizontal="left" vertical="top" wrapText="1"/>
    </xf>
    <xf numFmtId="0" fontId="0" fillId="2" borderId="14" xfId="0" applyFill="1" applyBorder="1" applyAlignment="1">
      <alignment horizontal="center"/>
    </xf>
    <xf numFmtId="164" fontId="0" fillId="2" borderId="18" xfId="0" applyNumberFormat="1" applyFill="1" applyBorder="1"/>
    <xf numFmtId="164" fontId="0" fillId="0" borderId="14" xfId="0" applyNumberFormat="1" applyBorder="1"/>
    <xf numFmtId="0" fontId="13" fillId="0" borderId="24" xfId="0" applyFont="1" applyBorder="1" applyAlignment="1">
      <alignment horizontal="right"/>
    </xf>
    <xf numFmtId="0" fontId="6" fillId="0" borderId="24" xfId="0" applyFont="1" applyBorder="1" applyAlignment="1">
      <alignment horizontal="right"/>
    </xf>
    <xf numFmtId="0" fontId="6" fillId="0" borderId="24" xfId="0" applyFont="1" applyBorder="1"/>
    <xf numFmtId="0" fontId="0" fillId="0" borderId="49" xfId="0" applyBorder="1"/>
    <xf numFmtId="0" fontId="0" fillId="2" borderId="21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2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8" fillId="0" borderId="16" xfId="0" applyFont="1" applyBorder="1"/>
    <xf numFmtId="0" fontId="11" fillId="0" borderId="18" xfId="0" applyFont="1" applyFill="1" applyBorder="1" applyAlignment="1">
      <alignment horizontal="left" vertical="top" wrapText="1"/>
    </xf>
    <xf numFmtId="0" fontId="7" fillId="0" borderId="18" xfId="0" applyFont="1" applyBorder="1"/>
    <xf numFmtId="0" fontId="0" fillId="0" borderId="19" xfId="0" applyBorder="1" applyAlignment="1">
      <alignment horizontal="center"/>
    </xf>
    <xf numFmtId="164" fontId="0" fillId="0" borderId="41" xfId="0" applyNumberFormat="1" applyBorder="1"/>
    <xf numFmtId="2" fontId="0" fillId="0" borderId="21" xfId="0" applyNumberFormat="1" applyBorder="1"/>
    <xf numFmtId="2" fontId="0" fillId="0" borderId="0" xfId="0" applyNumberFormat="1"/>
    <xf numFmtId="2" fontId="0" fillId="2" borderId="45" xfId="0" applyNumberFormat="1" applyFill="1" applyBorder="1"/>
    <xf numFmtId="2" fontId="0" fillId="0" borderId="45" xfId="0" applyNumberFormat="1" applyBorder="1"/>
    <xf numFmtId="2" fontId="0" fillId="2" borderId="13" xfId="0" applyNumberFormat="1" applyFill="1" applyBorder="1"/>
    <xf numFmtId="2" fontId="0" fillId="0" borderId="22" xfId="0" applyNumberFormat="1" applyBorder="1"/>
    <xf numFmtId="2" fontId="0" fillId="0" borderId="13" xfId="0" applyNumberFormat="1" applyBorder="1"/>
    <xf numFmtId="0" fontId="0" fillId="0" borderId="26" xfId="0" applyBorder="1" applyAlignment="1">
      <alignment horizontal="center"/>
    </xf>
    <xf numFmtId="0" fontId="3" fillId="0" borderId="18" xfId="0" applyFont="1" applyBorder="1"/>
    <xf numFmtId="0" fontId="3" fillId="0" borderId="16" xfId="0" applyFont="1" applyBorder="1"/>
    <xf numFmtId="2" fontId="0" fillId="2" borderId="21" xfId="0" applyNumberFormat="1" applyFill="1" applyBorder="1"/>
    <xf numFmtId="0" fontId="0" fillId="2" borderId="22" xfId="0" applyFill="1" applyBorder="1"/>
    <xf numFmtId="2" fontId="0" fillId="2" borderId="22" xfId="0" applyNumberFormat="1" applyFill="1" applyBorder="1"/>
    <xf numFmtId="0" fontId="0" fillId="2" borderId="23" xfId="0" applyFill="1" applyBorder="1"/>
    <xf numFmtId="0" fontId="0" fillId="2" borderId="35" xfId="0" applyFill="1" applyBorder="1"/>
    <xf numFmtId="1" fontId="12" fillId="0" borderId="2" xfId="0" applyNumberFormat="1" applyFont="1" applyFill="1" applyBorder="1" applyAlignment="1">
      <alignment horizontal="center" vertical="top" shrinkToFit="1"/>
    </xf>
    <xf numFmtId="0" fontId="0" fillId="2" borderId="0" xfId="0" applyFill="1"/>
    <xf numFmtId="0" fontId="2" fillId="0" borderId="18" xfId="0" applyFont="1" applyBorder="1"/>
    <xf numFmtId="0" fontId="2" fillId="0" borderId="16" xfId="0" applyFont="1" applyBorder="1"/>
    <xf numFmtId="0" fontId="2" fillId="0" borderId="13" xfId="0" applyFont="1" applyBorder="1" applyAlignment="1">
      <alignment horizontal="center"/>
    </xf>
    <xf numFmtId="0" fontId="14" fillId="0" borderId="16" xfId="0" applyFont="1" applyFill="1" applyBorder="1" applyAlignment="1">
      <alignment horizontal="left" vertical="top" wrapText="1"/>
    </xf>
    <xf numFmtId="164" fontId="0" fillId="0" borderId="14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50" xfId="0" applyNumberFormat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2" borderId="2" xfId="0" applyFill="1" applyBorder="1"/>
    <xf numFmtId="0" fontId="0" fillId="2" borderId="3" xfId="0" applyFill="1" applyBorder="1"/>
    <xf numFmtId="0" fontId="11" fillId="0" borderId="10" xfId="0" applyFont="1" applyFill="1" applyBorder="1" applyAlignment="1">
      <alignment horizontal="left" vertical="top" wrapText="1"/>
    </xf>
    <xf numFmtId="164" fontId="0" fillId="0" borderId="16" xfId="0" applyNumberFormat="1" applyBorder="1"/>
    <xf numFmtId="1" fontId="12" fillId="0" borderId="22" xfId="0" applyNumberFormat="1" applyFont="1" applyFill="1" applyBorder="1" applyAlignment="1">
      <alignment horizontal="center" vertical="top" shrinkToFit="1"/>
    </xf>
    <xf numFmtId="0" fontId="11" fillId="0" borderId="22" xfId="0" applyFont="1" applyFill="1" applyBorder="1" applyAlignment="1">
      <alignment horizontal="center" vertical="top" wrapText="1"/>
    </xf>
    <xf numFmtId="0" fontId="11" fillId="0" borderId="23" xfId="0" applyFont="1" applyFill="1" applyBorder="1" applyAlignment="1">
      <alignment horizontal="left" vertical="top" wrapText="1"/>
    </xf>
    <xf numFmtId="164" fontId="0" fillId="2" borderId="21" xfId="0" applyNumberFormat="1" applyFill="1" applyBorder="1"/>
    <xf numFmtId="164" fontId="0" fillId="2" borderId="22" xfId="0" applyNumberFormat="1" applyFill="1" applyBorder="1"/>
    <xf numFmtId="164" fontId="0" fillId="0" borderId="21" xfId="0" applyNumberFormat="1" applyBorder="1"/>
    <xf numFmtId="164" fontId="0" fillId="0" borderId="22" xfId="0" applyNumberFormat="1" applyBorder="1"/>
    <xf numFmtId="164" fontId="0" fillId="0" borderId="52" xfId="0" applyNumberFormat="1" applyBorder="1"/>
    <xf numFmtId="0" fontId="11" fillId="0" borderId="17" xfId="0" applyFont="1" applyFill="1" applyBorder="1" applyAlignment="1">
      <alignment horizontal="left" vertical="top" wrapText="1"/>
    </xf>
    <xf numFmtId="0" fontId="11" fillId="0" borderId="60" xfId="0" applyFont="1" applyFill="1" applyBorder="1" applyAlignment="1">
      <alignment horizontal="left" vertical="top" wrapText="1"/>
    </xf>
    <xf numFmtId="0" fontId="11" fillId="0" borderId="52" xfId="0" applyFont="1" applyFill="1" applyBorder="1" applyAlignment="1">
      <alignment horizontal="left" vertical="top" wrapText="1"/>
    </xf>
    <xf numFmtId="0" fontId="11" fillId="0" borderId="51" xfId="0" applyFont="1" applyFill="1" applyBorder="1" applyAlignment="1">
      <alignment horizontal="left" vertical="top" wrapText="1"/>
    </xf>
    <xf numFmtId="0" fontId="0" fillId="0" borderId="3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Fill="1"/>
    <xf numFmtId="164" fontId="0" fillId="0" borderId="0" xfId="0" applyNumberFormat="1" applyFill="1"/>
    <xf numFmtId="0" fontId="0" fillId="0" borderId="10" xfId="0" applyFill="1" applyBorder="1" applyAlignment="1">
      <alignment horizontal="center"/>
    </xf>
    <xf numFmtId="164" fontId="0" fillId="0" borderId="14" xfId="0" applyNumberFormat="1" applyFill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164" fontId="0" fillId="0" borderId="50" xfId="0" applyNumberForma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25" xfId="0" applyFill="1" applyBorder="1"/>
    <xf numFmtId="164" fontId="0" fillId="0" borderId="13" xfId="0" applyNumberFormat="1" applyFill="1" applyBorder="1"/>
    <xf numFmtId="0" fontId="0" fillId="0" borderId="16" xfId="0" applyFill="1" applyBorder="1"/>
    <xf numFmtId="0" fontId="0" fillId="0" borderId="10" xfId="0" applyFill="1" applyBorder="1"/>
    <xf numFmtId="164" fontId="0" fillId="0" borderId="10" xfId="0" applyNumberFormat="1" applyFill="1" applyBorder="1"/>
    <xf numFmtId="0" fontId="0" fillId="0" borderId="11" xfId="0" applyFill="1" applyBorder="1"/>
    <xf numFmtId="164" fontId="0" fillId="0" borderId="9" xfId="0" applyNumberFormat="1" applyFill="1" applyBorder="1"/>
    <xf numFmtId="0" fontId="11" fillId="2" borderId="51" xfId="0" applyFont="1" applyFill="1" applyBorder="1" applyAlignment="1">
      <alignment vertical="center" wrapText="1"/>
    </xf>
    <xf numFmtId="0" fontId="11" fillId="2" borderId="18" xfId="0" applyFont="1" applyFill="1" applyBorder="1" applyAlignment="1">
      <alignment horizontal="left" vertical="center" wrapText="1"/>
    </xf>
    <xf numFmtId="0" fontId="11" fillId="2" borderId="18" xfId="0" applyFont="1" applyFill="1" applyBorder="1" applyAlignment="1">
      <alignment vertical="center" wrapText="1"/>
    </xf>
    <xf numFmtId="165" fontId="11" fillId="2" borderId="18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3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2" xfId="0" applyBorder="1" applyAlignment="1">
      <alignment horizontal="center"/>
    </xf>
    <xf numFmtId="2" fontId="0" fillId="2" borderId="0" xfId="0" applyNumberFormat="1" applyFill="1" applyBorder="1"/>
    <xf numFmtId="2" fontId="0" fillId="2" borderId="21" xfId="0" applyNumberFormat="1" applyFill="1" applyBorder="1" applyAlignment="1">
      <alignment horizontal="center" vertical="center"/>
    </xf>
    <xf numFmtId="2" fontId="0" fillId="2" borderId="22" xfId="0" applyNumberForma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top" wrapText="1"/>
    </xf>
    <xf numFmtId="0" fontId="11" fillId="0" borderId="34" xfId="0" applyFont="1" applyFill="1" applyBorder="1" applyAlignment="1">
      <alignment horizontal="left" vertical="top" wrapText="1"/>
    </xf>
    <xf numFmtId="2" fontId="0" fillId="2" borderId="1" xfId="0" applyNumberFormat="1" applyFill="1" applyBorder="1"/>
    <xf numFmtId="2" fontId="0" fillId="2" borderId="2" xfId="0" applyNumberFormat="1" applyFill="1" applyBorder="1"/>
    <xf numFmtId="0" fontId="0" fillId="2" borderId="49" xfId="0" applyFill="1" applyBorder="1"/>
    <xf numFmtId="0" fontId="0" fillId="0" borderId="36" xfId="0" applyBorder="1"/>
    <xf numFmtId="0" fontId="0" fillId="0" borderId="0" xfId="0" applyBorder="1"/>
    <xf numFmtId="0" fontId="0" fillId="3" borderId="8" xfId="0" applyFill="1" applyBorder="1" applyAlignment="1">
      <alignment horizontal="center"/>
    </xf>
    <xf numFmtId="0" fontId="0" fillId="0" borderId="62" xfId="0" applyBorder="1"/>
    <xf numFmtId="0" fontId="14" fillId="0" borderId="19" xfId="0" applyFont="1" applyFill="1" applyBorder="1" applyAlignment="1">
      <alignment horizontal="left" vertical="top" wrapText="1"/>
    </xf>
    <xf numFmtId="164" fontId="0" fillId="2" borderId="15" xfId="0" applyNumberFormat="1" applyFill="1" applyBorder="1"/>
    <xf numFmtId="164" fontId="0" fillId="0" borderId="15" xfId="0" applyNumberFormat="1" applyBorder="1"/>
    <xf numFmtId="164" fontId="0" fillId="2" borderId="23" xfId="0" applyNumberFormat="1" applyFill="1" applyBorder="1"/>
    <xf numFmtId="164" fontId="0" fillId="0" borderId="23" xfId="0" applyNumberFormat="1" applyBorder="1"/>
    <xf numFmtId="0" fontId="0" fillId="0" borderId="14" xfId="0" applyBorder="1"/>
    <xf numFmtId="164" fontId="0" fillId="0" borderId="35" xfId="0" applyNumberFormat="1" applyBorder="1"/>
    <xf numFmtId="164" fontId="0" fillId="0" borderId="50" xfId="0" applyNumberFormat="1" applyBorder="1"/>
    <xf numFmtId="0" fontId="0" fillId="0" borderId="28" xfId="0" applyBorder="1"/>
    <xf numFmtId="0" fontId="0" fillId="0" borderId="64" xfId="0" applyBorder="1" applyAlignment="1">
      <alignment horizontal="center"/>
    </xf>
    <xf numFmtId="0" fontId="0" fillId="0" borderId="65" xfId="0" applyBorder="1" applyAlignment="1">
      <alignment horizontal="center"/>
    </xf>
    <xf numFmtId="164" fontId="0" fillId="2" borderId="52" xfId="0" applyNumberFormat="1" applyFill="1" applyBorder="1"/>
    <xf numFmtId="0" fontId="11" fillId="0" borderId="14" xfId="0" applyFont="1" applyFill="1" applyBorder="1" applyAlignment="1">
      <alignment horizontal="left" vertical="top" wrapText="1"/>
    </xf>
    <xf numFmtId="2" fontId="0" fillId="0" borderId="9" xfId="0" applyNumberFormat="1" applyBorder="1"/>
    <xf numFmtId="2" fontId="0" fillId="0" borderId="10" xfId="0" applyNumberFormat="1" applyBorder="1"/>
    <xf numFmtId="0" fontId="11" fillId="0" borderId="66" xfId="0" applyFont="1" applyFill="1" applyBorder="1" applyAlignment="1">
      <alignment horizontal="left" vertical="top" wrapText="1"/>
    </xf>
    <xf numFmtId="0" fontId="14" fillId="2" borderId="23" xfId="0" applyFont="1" applyFill="1" applyBorder="1" applyAlignment="1">
      <alignment horizontal="left" vertical="top" wrapText="1"/>
    </xf>
    <xf numFmtId="0" fontId="0" fillId="0" borderId="22" xfId="0" applyFill="1" applyBorder="1"/>
    <xf numFmtId="0" fontId="11" fillId="0" borderId="35" xfId="0" applyFont="1" applyFill="1" applyBorder="1" applyAlignment="1">
      <alignment horizontal="left" vertical="top" wrapText="1"/>
    </xf>
    <xf numFmtId="0" fontId="0" fillId="0" borderId="35" xfId="0" applyFill="1" applyBorder="1"/>
    <xf numFmtId="164" fontId="0" fillId="0" borderId="22" xfId="0" applyNumberFormat="1" applyFill="1" applyBorder="1"/>
    <xf numFmtId="164" fontId="0" fillId="0" borderId="52" xfId="0" applyNumberFormat="1" applyFill="1" applyBorder="1"/>
    <xf numFmtId="0" fontId="0" fillId="0" borderId="50" xfId="0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2" borderId="0" xfId="0" applyFill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59" xfId="0" applyFill="1" applyBorder="1"/>
    <xf numFmtId="0" fontId="0" fillId="0" borderId="24" xfId="0" applyFill="1" applyBorder="1"/>
    <xf numFmtId="0" fontId="0" fillId="3" borderId="58" xfId="0" applyFill="1" applyBorder="1" applyAlignment="1">
      <alignment horizontal="center"/>
    </xf>
    <xf numFmtId="0" fontId="0" fillId="3" borderId="26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8" fillId="0" borderId="52" xfId="0" applyFont="1" applyBorder="1"/>
    <xf numFmtId="0" fontId="9" fillId="0" borderId="22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14" fillId="0" borderId="35" xfId="0" applyFont="1" applyFill="1" applyBorder="1" applyAlignment="1">
      <alignment horizontal="left" vertical="top" wrapText="1"/>
    </xf>
    <xf numFmtId="0" fontId="8" fillId="0" borderId="35" xfId="0" applyFont="1" applyBorder="1"/>
    <xf numFmtId="0" fontId="0" fillId="3" borderId="1" xfId="0" applyFill="1" applyBorder="1" applyAlignment="1">
      <alignment horizontal="center"/>
    </xf>
    <xf numFmtId="0" fontId="0" fillId="3" borderId="41" xfId="0" applyFill="1" applyBorder="1" applyAlignment="1">
      <alignment horizontal="center"/>
    </xf>
    <xf numFmtId="0" fontId="0" fillId="3" borderId="45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16" fillId="0" borderId="64" xfId="0" applyFont="1" applyBorder="1" applyAlignment="1">
      <alignment horizontal="center"/>
    </xf>
    <xf numFmtId="0" fontId="16" fillId="0" borderId="65" xfId="0" applyFont="1" applyBorder="1" applyAlignment="1">
      <alignment horizontal="center"/>
    </xf>
    <xf numFmtId="0" fontId="0" fillId="0" borderId="50" xfId="0" applyBorder="1" applyAlignment="1">
      <alignment horizontal="center"/>
    </xf>
    <xf numFmtId="0" fontId="0" fillId="5" borderId="0" xfId="0" applyFill="1"/>
    <xf numFmtId="0" fontId="0" fillId="2" borderId="19" xfId="0" applyFill="1" applyBorder="1" applyAlignment="1">
      <alignment horizontal="center"/>
    </xf>
    <xf numFmtId="0" fontId="11" fillId="2" borderId="18" xfId="0" applyFont="1" applyFill="1" applyBorder="1" applyAlignment="1">
      <alignment horizontal="left" vertical="top" wrapText="1"/>
    </xf>
    <xf numFmtId="1" fontId="12" fillId="2" borderId="13" xfId="0" applyNumberFormat="1" applyFont="1" applyFill="1" applyBorder="1" applyAlignment="1">
      <alignment horizontal="center" vertical="top" shrinkToFit="1"/>
    </xf>
    <xf numFmtId="0" fontId="11" fillId="2" borderId="13" xfId="0" applyFont="1" applyFill="1" applyBorder="1" applyAlignment="1">
      <alignment horizontal="center" vertical="top" wrapText="1"/>
    </xf>
    <xf numFmtId="0" fontId="11" fillId="2" borderId="15" xfId="0" applyFont="1" applyFill="1" applyBorder="1" applyAlignment="1">
      <alignment horizontal="left" vertical="top" wrapText="1"/>
    </xf>
    <xf numFmtId="164" fontId="0" fillId="2" borderId="16" xfId="0" applyNumberFormat="1" applyFill="1" applyBorder="1"/>
    <xf numFmtId="0" fontId="0" fillId="2" borderId="18" xfId="0" applyFill="1" applyBorder="1"/>
    <xf numFmtId="0" fontId="0" fillId="2" borderId="13" xfId="0" applyFill="1" applyBorder="1" applyAlignment="1">
      <alignment horizontal="center"/>
    </xf>
    <xf numFmtId="0" fontId="0" fillId="2" borderId="45" xfId="0" applyFill="1" applyBorder="1"/>
    <xf numFmtId="0" fontId="4" fillId="2" borderId="18" xfId="0" applyFont="1" applyFill="1" applyBorder="1"/>
    <xf numFmtId="0" fontId="9" fillId="2" borderId="13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5" xfId="0" applyFont="1" applyFill="1" applyBorder="1"/>
    <xf numFmtId="0" fontId="5" fillId="2" borderId="15" xfId="0" applyFont="1" applyFill="1" applyBorder="1"/>
    <xf numFmtId="0" fontId="8" fillId="0" borderId="51" xfId="0" applyFont="1" applyBorder="1"/>
    <xf numFmtId="0" fontId="9" fillId="0" borderId="24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5" xfId="0" applyFont="1" applyBorder="1"/>
    <xf numFmtId="164" fontId="0" fillId="2" borderId="51" xfId="0" applyNumberFormat="1" applyFill="1" applyBorder="1"/>
    <xf numFmtId="0" fontId="0" fillId="0" borderId="13" xfId="0" applyBorder="1" applyAlignment="1">
      <alignment horizontal="center"/>
    </xf>
    <xf numFmtId="0" fontId="0" fillId="0" borderId="39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49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55" xfId="0" applyFill="1" applyBorder="1" applyAlignment="1">
      <alignment horizontal="center" vertical="center" wrapText="1"/>
    </xf>
    <xf numFmtId="0" fontId="0" fillId="2" borderId="56" xfId="0" applyFill="1" applyBorder="1" applyAlignment="1">
      <alignment horizontal="center" vertical="center" wrapText="1"/>
    </xf>
    <xf numFmtId="0" fontId="0" fillId="2" borderId="57" xfId="0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0" fillId="0" borderId="39" xfId="0" applyFont="1" applyBorder="1" applyAlignment="1">
      <alignment horizontal="center" vertical="center" textRotation="90"/>
    </xf>
    <xf numFmtId="0" fontId="10" fillId="0" borderId="40" xfId="0" applyFont="1" applyBorder="1" applyAlignment="1">
      <alignment horizontal="center" vertical="center" textRotation="90"/>
    </xf>
    <xf numFmtId="0" fontId="0" fillId="3" borderId="5" xfId="0" applyFill="1" applyBorder="1" applyAlignment="1">
      <alignment horizontal="center" vertical="center"/>
    </xf>
    <xf numFmtId="0" fontId="0" fillId="3" borderId="3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67" xfId="0" applyFill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6" xfId="0" applyBorder="1" applyAlignment="1"/>
    <xf numFmtId="0" fontId="0" fillId="0" borderId="55" xfId="0" applyFont="1" applyBorder="1" applyAlignment="1">
      <alignment horizontal="center" vertical="center" wrapText="1"/>
    </xf>
    <xf numFmtId="0" fontId="0" fillId="0" borderId="56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 wrapText="1"/>
    </xf>
    <xf numFmtId="0" fontId="0" fillId="0" borderId="54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6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textRotation="90"/>
    </xf>
    <xf numFmtId="0" fontId="10" fillId="0" borderId="19" xfId="0" applyFont="1" applyBorder="1" applyAlignment="1">
      <alignment horizontal="center" vertical="center" textRotation="90"/>
    </xf>
    <xf numFmtId="0" fontId="10" fillId="0" borderId="8" xfId="0" applyFont="1" applyBorder="1" applyAlignment="1">
      <alignment horizontal="center" vertical="center" textRotation="90"/>
    </xf>
    <xf numFmtId="0" fontId="0" fillId="0" borderId="4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3" borderId="34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39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14" fontId="13" fillId="4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7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textRotation="90"/>
    </xf>
    <xf numFmtId="0" fontId="10" fillId="0" borderId="20" xfId="0" applyFont="1" applyBorder="1" applyAlignment="1">
      <alignment horizontal="center" vertical="center" textRotation="90"/>
    </xf>
    <xf numFmtId="0" fontId="10" fillId="0" borderId="61" xfId="0" applyFont="1" applyBorder="1" applyAlignment="1">
      <alignment horizontal="center" vertical="center" textRotation="90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15" xfId="0" applyBorder="1" applyAlignment="1">
      <alignment horizontal="center"/>
    </xf>
    <xf numFmtId="14" fontId="13" fillId="4" borderId="2" xfId="0" applyNumberFormat="1" applyFont="1" applyFill="1" applyBorder="1" applyAlignment="1">
      <alignment horizontal="left" vertical="center" wrapText="1" indent="1"/>
    </xf>
    <xf numFmtId="0" fontId="6" fillId="0" borderId="2" xfId="0" applyFont="1" applyBorder="1" applyAlignment="1">
      <alignment horizontal="left" vertical="center" wrapText="1" indent="1"/>
    </xf>
    <xf numFmtId="0" fontId="0" fillId="0" borderId="45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5" fillId="0" borderId="45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0" fillId="0" borderId="58" xfId="0" applyFont="1" applyBorder="1" applyAlignment="1">
      <alignment horizontal="center" vertical="center" textRotation="90"/>
    </xf>
    <xf numFmtId="0" fontId="0" fillId="0" borderId="64" xfId="0" applyFont="1" applyBorder="1" applyAlignment="1">
      <alignment horizontal="center" vertical="center" wrapText="1"/>
    </xf>
    <xf numFmtId="0" fontId="0" fillId="0" borderId="65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/>
    </xf>
    <xf numFmtId="0" fontId="15" fillId="0" borderId="51" xfId="0" applyFont="1" applyBorder="1" applyAlignment="1">
      <alignment horizontal="center"/>
    </xf>
    <xf numFmtId="0" fontId="0" fillId="0" borderId="27" xfId="0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textRotation="90"/>
    </xf>
    <xf numFmtId="0" fontId="0" fillId="3" borderId="1" xfId="0" applyFill="1" applyBorder="1" applyAlignment="1">
      <alignment horizontal="center" vertical="center"/>
    </xf>
    <xf numFmtId="0" fontId="0" fillId="3" borderId="45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14" fillId="0" borderId="23" xfId="0" applyFont="1" applyFill="1" applyBorder="1" applyAlignment="1">
      <alignment horizontal="left" vertical="top" wrapText="1"/>
    </xf>
    <xf numFmtId="164" fontId="0" fillId="3" borderId="58" xfId="0" applyNumberFormat="1" applyFill="1" applyBorder="1" applyAlignment="1">
      <alignment horizontal="center"/>
    </xf>
    <xf numFmtId="164" fontId="0" fillId="0" borderId="1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24"/>
  <sheetViews>
    <sheetView topLeftCell="A4" zoomScale="90" zoomScaleNormal="90" workbookViewId="0">
      <selection activeCell="AM2" sqref="AM2:AT2"/>
    </sheetView>
  </sheetViews>
  <sheetFormatPr defaultRowHeight="15" x14ac:dyDescent="0.25"/>
  <cols>
    <col min="1" max="1" width="3.5703125" customWidth="1"/>
    <col min="2" max="2" width="22.7109375" customWidth="1"/>
    <col min="3" max="3" width="6.85546875" customWidth="1"/>
    <col min="4" max="4" width="8.85546875" customWidth="1"/>
    <col min="5" max="5" width="21" customWidth="1"/>
    <col min="6" max="6" width="8.28515625" customWidth="1"/>
    <col min="7" max="7" width="6.7109375" style="98" customWidth="1"/>
    <col min="8" max="8" width="6.7109375" customWidth="1"/>
    <col min="9" max="9" width="6.7109375" style="98" customWidth="1"/>
    <col min="10" max="10" width="6.7109375" customWidth="1"/>
    <col min="11" max="11" width="6.7109375" style="98" customWidth="1"/>
    <col min="12" max="12" width="6.7109375" customWidth="1"/>
    <col min="13" max="13" width="6.7109375" style="98" customWidth="1"/>
    <col min="14" max="52" width="6.7109375" customWidth="1"/>
    <col min="53" max="53" width="8.7109375" customWidth="1"/>
  </cols>
  <sheetData>
    <row r="1" spans="1:53" ht="15.75" thickBot="1" x14ac:dyDescent="0.3">
      <c r="A1" t="s">
        <v>250</v>
      </c>
    </row>
    <row r="2" spans="1:53" ht="43.5" customHeight="1" thickBot="1" x14ac:dyDescent="0.3">
      <c r="A2" s="260" t="s">
        <v>0</v>
      </c>
      <c r="B2" s="265" t="s">
        <v>1</v>
      </c>
      <c r="C2" s="266"/>
      <c r="D2" s="267"/>
      <c r="E2" s="8" t="s">
        <v>0</v>
      </c>
      <c r="F2" s="262" t="s">
        <v>3</v>
      </c>
      <c r="G2" s="255" t="s">
        <v>171</v>
      </c>
      <c r="H2" s="256"/>
      <c r="I2" s="256"/>
      <c r="J2" s="256"/>
      <c r="K2" s="256"/>
      <c r="L2" s="256"/>
      <c r="M2" s="256"/>
      <c r="N2" s="257"/>
      <c r="O2" s="242" t="s">
        <v>255</v>
      </c>
      <c r="P2" s="243"/>
      <c r="Q2" s="243"/>
      <c r="R2" s="243"/>
      <c r="S2" s="243"/>
      <c r="T2" s="244"/>
      <c r="U2" s="242" t="s">
        <v>256</v>
      </c>
      <c r="V2" s="243"/>
      <c r="W2" s="243"/>
      <c r="X2" s="243"/>
      <c r="Y2" s="242" t="s">
        <v>204</v>
      </c>
      <c r="Z2" s="243"/>
      <c r="AA2" s="243"/>
      <c r="AB2" s="243"/>
      <c r="AC2" s="243"/>
      <c r="AD2" s="244"/>
      <c r="AE2" s="277" t="s">
        <v>227</v>
      </c>
      <c r="AF2" s="278"/>
      <c r="AG2" s="278"/>
      <c r="AH2" s="278"/>
      <c r="AI2" s="278"/>
      <c r="AJ2" s="278"/>
      <c r="AK2" s="279"/>
      <c r="AL2" s="279"/>
      <c r="AM2" s="272" t="s">
        <v>238</v>
      </c>
      <c r="AN2" s="273"/>
      <c r="AO2" s="273"/>
      <c r="AP2" s="274"/>
      <c r="AQ2" s="272" t="s">
        <v>240</v>
      </c>
      <c r="AR2" s="273"/>
      <c r="AS2" s="273"/>
      <c r="AT2" s="274"/>
      <c r="AU2" s="242" t="s">
        <v>248</v>
      </c>
      <c r="AV2" s="243"/>
      <c r="AW2" s="243"/>
      <c r="AX2" s="243"/>
      <c r="AY2" s="243"/>
      <c r="AZ2" s="244"/>
      <c r="BA2" s="198"/>
    </row>
    <row r="3" spans="1:53" x14ac:dyDescent="0.25">
      <c r="A3" s="261"/>
      <c r="B3" s="258" t="s">
        <v>4</v>
      </c>
      <c r="C3" s="251" t="s">
        <v>5</v>
      </c>
      <c r="D3" s="268" t="s">
        <v>6</v>
      </c>
      <c r="E3" s="270" t="s">
        <v>7</v>
      </c>
      <c r="F3" s="263"/>
      <c r="G3" s="253" t="s">
        <v>172</v>
      </c>
      <c r="H3" s="254"/>
      <c r="I3" s="249" t="s">
        <v>9</v>
      </c>
      <c r="J3" s="250"/>
      <c r="K3" s="245" t="s">
        <v>8</v>
      </c>
      <c r="L3" s="246"/>
      <c r="M3" s="247" t="s">
        <v>10</v>
      </c>
      <c r="N3" s="248"/>
      <c r="O3" s="245" t="s">
        <v>186</v>
      </c>
      <c r="P3" s="246"/>
      <c r="Q3" s="247" t="s">
        <v>10</v>
      </c>
      <c r="R3" s="248"/>
      <c r="S3" s="249"/>
      <c r="T3" s="250"/>
      <c r="U3" s="245" t="s">
        <v>186</v>
      </c>
      <c r="V3" s="246"/>
      <c r="W3" s="247" t="s">
        <v>9</v>
      </c>
      <c r="X3" s="248"/>
      <c r="Y3" s="245" t="s">
        <v>8</v>
      </c>
      <c r="Z3" s="246"/>
      <c r="AA3" s="247" t="s">
        <v>10</v>
      </c>
      <c r="AB3" s="248"/>
      <c r="AC3" s="249" t="s">
        <v>9</v>
      </c>
      <c r="AD3" s="250"/>
      <c r="AE3" s="245" t="s">
        <v>8</v>
      </c>
      <c r="AF3" s="246"/>
      <c r="AG3" s="247" t="s">
        <v>10</v>
      </c>
      <c r="AH3" s="248"/>
      <c r="AI3" s="249" t="s">
        <v>9</v>
      </c>
      <c r="AJ3" s="250"/>
      <c r="AK3" s="249" t="s">
        <v>229</v>
      </c>
      <c r="AL3" s="250"/>
      <c r="AM3" s="275" t="s">
        <v>239</v>
      </c>
      <c r="AN3" s="276"/>
      <c r="AO3" s="275" t="s">
        <v>133</v>
      </c>
      <c r="AP3" s="276"/>
      <c r="AQ3" s="275" t="s">
        <v>8</v>
      </c>
      <c r="AR3" s="276"/>
      <c r="AS3" s="275" t="s">
        <v>9</v>
      </c>
      <c r="AT3" s="276"/>
      <c r="AU3" s="245" t="s">
        <v>8</v>
      </c>
      <c r="AV3" s="246"/>
      <c r="AW3" s="247" t="s">
        <v>10</v>
      </c>
      <c r="AX3" s="248"/>
      <c r="AY3" s="249" t="s">
        <v>249</v>
      </c>
      <c r="AZ3" s="250"/>
      <c r="BA3" s="199"/>
    </row>
    <row r="4" spans="1:53" ht="15.75" thickBot="1" x14ac:dyDescent="0.3">
      <c r="A4" s="261"/>
      <c r="B4" s="259"/>
      <c r="C4" s="252"/>
      <c r="D4" s="269"/>
      <c r="E4" s="271"/>
      <c r="F4" s="264"/>
      <c r="G4" s="164" t="s">
        <v>14</v>
      </c>
      <c r="H4" s="90" t="s">
        <v>15</v>
      </c>
      <c r="I4" s="165" t="s">
        <v>14</v>
      </c>
      <c r="J4" s="91" t="s">
        <v>15</v>
      </c>
      <c r="K4" s="164" t="s">
        <v>14</v>
      </c>
      <c r="L4" s="88" t="s">
        <v>15</v>
      </c>
      <c r="M4" s="164" t="s">
        <v>14</v>
      </c>
      <c r="N4" s="89" t="s">
        <v>15</v>
      </c>
      <c r="O4" s="87" t="s">
        <v>14</v>
      </c>
      <c r="P4" s="88" t="s">
        <v>15</v>
      </c>
      <c r="Q4" s="87" t="s">
        <v>14</v>
      </c>
      <c r="R4" s="89" t="s">
        <v>15</v>
      </c>
      <c r="S4" s="90" t="s">
        <v>14</v>
      </c>
      <c r="T4" s="91" t="s">
        <v>15</v>
      </c>
      <c r="U4" s="87" t="s">
        <v>14</v>
      </c>
      <c r="V4" s="88" t="s">
        <v>15</v>
      </c>
      <c r="W4" s="87" t="s">
        <v>14</v>
      </c>
      <c r="X4" s="89" t="s">
        <v>15</v>
      </c>
      <c r="Y4" s="87" t="s">
        <v>14</v>
      </c>
      <c r="Z4" s="88" t="s">
        <v>15</v>
      </c>
      <c r="AA4" s="87" t="s">
        <v>14</v>
      </c>
      <c r="AB4" s="89" t="s">
        <v>15</v>
      </c>
      <c r="AC4" s="90" t="s">
        <v>14</v>
      </c>
      <c r="AD4" s="91" t="s">
        <v>15</v>
      </c>
      <c r="AE4" s="87" t="s">
        <v>14</v>
      </c>
      <c r="AF4" s="88" t="s">
        <v>15</v>
      </c>
      <c r="AG4" s="87" t="s">
        <v>14</v>
      </c>
      <c r="AH4" s="89" t="s">
        <v>15</v>
      </c>
      <c r="AI4" s="90" t="s">
        <v>14</v>
      </c>
      <c r="AJ4" s="91" t="s">
        <v>15</v>
      </c>
      <c r="AK4" s="90" t="s">
        <v>14</v>
      </c>
      <c r="AL4" s="91" t="s">
        <v>15</v>
      </c>
      <c r="AM4" s="90" t="s">
        <v>14</v>
      </c>
      <c r="AN4" s="91" t="s">
        <v>15</v>
      </c>
      <c r="AO4" s="90" t="s">
        <v>14</v>
      </c>
      <c r="AP4" s="91" t="s">
        <v>15</v>
      </c>
      <c r="AQ4" s="90" t="s">
        <v>14</v>
      </c>
      <c r="AR4" s="91" t="s">
        <v>15</v>
      </c>
      <c r="AS4" s="90" t="s">
        <v>14</v>
      </c>
      <c r="AT4" s="91" t="s">
        <v>15</v>
      </c>
      <c r="AU4" s="87" t="s">
        <v>14</v>
      </c>
      <c r="AV4" s="88" t="s">
        <v>15</v>
      </c>
      <c r="AW4" s="87" t="s">
        <v>14</v>
      </c>
      <c r="AX4" s="89" t="s">
        <v>15</v>
      </c>
      <c r="AY4" s="90" t="s">
        <v>14</v>
      </c>
      <c r="AZ4" s="91" t="s">
        <v>15</v>
      </c>
      <c r="BA4" s="199"/>
    </row>
    <row r="5" spans="1:53" s="171" customFormat="1" x14ac:dyDescent="0.25">
      <c r="A5" s="138">
        <f t="shared" ref="A5:A24" si="0">RANK(F5,F$5:F$24,0)</f>
        <v>1</v>
      </c>
      <c r="B5" s="134" t="s">
        <v>16</v>
      </c>
      <c r="C5" s="112">
        <v>1966</v>
      </c>
      <c r="D5" s="166" t="s">
        <v>12</v>
      </c>
      <c r="E5" s="167" t="s">
        <v>24</v>
      </c>
      <c r="F5" s="25">
        <f>P5+R5+Z5+AH5+AX5+AZ5</f>
        <v>1223</v>
      </c>
      <c r="G5" s="168"/>
      <c r="H5" s="122"/>
      <c r="I5" s="169">
        <v>68.319000000000003</v>
      </c>
      <c r="J5" s="123">
        <v>183</v>
      </c>
      <c r="K5" s="168">
        <v>69</v>
      </c>
      <c r="L5" s="122">
        <v>190</v>
      </c>
      <c r="M5" s="169"/>
      <c r="N5" s="170"/>
      <c r="O5" s="65">
        <v>66.435000000000002</v>
      </c>
      <c r="P5" s="66">
        <f>167+30</f>
        <v>197</v>
      </c>
      <c r="Q5" s="67">
        <v>71.2</v>
      </c>
      <c r="R5" s="66">
        <f>182+30</f>
        <v>212</v>
      </c>
      <c r="S5" s="66"/>
      <c r="T5" s="86"/>
      <c r="U5" s="65"/>
      <c r="V5" s="66"/>
      <c r="W5" s="67"/>
      <c r="X5" s="66"/>
      <c r="Y5" s="65">
        <v>67.522000000000006</v>
      </c>
      <c r="Z5" s="66">
        <f>175+30</f>
        <v>205</v>
      </c>
      <c r="AA5" s="67">
        <v>68.900000000000006</v>
      </c>
      <c r="AB5" s="66">
        <f>159+30</f>
        <v>189</v>
      </c>
      <c r="AC5" s="67"/>
      <c r="AD5" s="68"/>
      <c r="AE5" s="65">
        <v>68.783000000000001</v>
      </c>
      <c r="AF5" s="66">
        <v>188</v>
      </c>
      <c r="AG5" s="67">
        <v>73.400000000000006</v>
      </c>
      <c r="AH5" s="66">
        <v>204</v>
      </c>
      <c r="AI5" s="67"/>
      <c r="AJ5" s="68"/>
      <c r="AK5" s="67">
        <v>69.578999999999994</v>
      </c>
      <c r="AL5" s="68">
        <v>196</v>
      </c>
      <c r="AM5" s="67">
        <v>65.052999999999997</v>
      </c>
      <c r="AN5" s="68">
        <f>151+30</f>
        <v>181</v>
      </c>
      <c r="AO5" s="67">
        <v>69.05</v>
      </c>
      <c r="AP5" s="68">
        <f>161+30</f>
        <v>191</v>
      </c>
      <c r="AQ5" s="67"/>
      <c r="AR5" s="68"/>
      <c r="AS5" s="67"/>
      <c r="AT5" s="68"/>
      <c r="AU5" s="65">
        <v>69</v>
      </c>
      <c r="AV5" s="66">
        <v>190</v>
      </c>
      <c r="AW5" s="67">
        <v>72.84</v>
      </c>
      <c r="AX5" s="66">
        <v>198</v>
      </c>
      <c r="AY5" s="67">
        <v>70.67</v>
      </c>
      <c r="AZ5" s="68">
        <v>207</v>
      </c>
    </row>
    <row r="6" spans="1:53" s="172" customFormat="1" x14ac:dyDescent="0.25">
      <c r="A6" s="139">
        <f t="shared" si="0"/>
        <v>2</v>
      </c>
      <c r="B6" s="135" t="s">
        <v>28</v>
      </c>
      <c r="C6" s="17">
        <v>1980</v>
      </c>
      <c r="D6" s="13" t="s">
        <v>19</v>
      </c>
      <c r="E6" s="9" t="s">
        <v>29</v>
      </c>
      <c r="F6" s="26">
        <f>H6+R6+Z6+AN6+AP6+AB6</f>
        <v>1109</v>
      </c>
      <c r="G6" s="99">
        <v>68.763000000000005</v>
      </c>
      <c r="H6" s="56">
        <v>188</v>
      </c>
      <c r="I6" s="101">
        <v>66.254999999999995</v>
      </c>
      <c r="J6" s="52">
        <v>163</v>
      </c>
      <c r="K6" s="163">
        <v>66.435000000000002</v>
      </c>
      <c r="L6" s="56">
        <v>164</v>
      </c>
      <c r="M6" s="101"/>
      <c r="N6" s="63"/>
      <c r="O6" s="27">
        <v>64.760999999999996</v>
      </c>
      <c r="P6" s="4">
        <f>148+30</f>
        <v>178</v>
      </c>
      <c r="Q6" s="30">
        <v>69.25</v>
      </c>
      <c r="R6" s="4">
        <f>163+30</f>
        <v>193</v>
      </c>
      <c r="S6" s="4"/>
      <c r="T6" s="6"/>
      <c r="U6" s="27"/>
      <c r="V6" s="4"/>
      <c r="W6" s="30"/>
      <c r="X6" s="4"/>
      <c r="Y6" s="27">
        <v>65.043999999999997</v>
      </c>
      <c r="Z6" s="4">
        <f>150+30</f>
        <v>180</v>
      </c>
      <c r="AA6" s="30">
        <v>68.25</v>
      </c>
      <c r="AB6" s="4">
        <f>153+30</f>
        <v>183</v>
      </c>
      <c r="AC6" s="30"/>
      <c r="AD6" s="21"/>
      <c r="AE6" s="27">
        <v>66.84</v>
      </c>
      <c r="AF6" s="4">
        <v>168</v>
      </c>
      <c r="AG6" s="30"/>
      <c r="AH6" s="4"/>
      <c r="AI6" s="30">
        <v>65.722999999999999</v>
      </c>
      <c r="AJ6" s="21">
        <v>157</v>
      </c>
      <c r="AK6" s="30">
        <v>67.658000000000001</v>
      </c>
      <c r="AL6" s="21">
        <v>177</v>
      </c>
      <c r="AM6" s="30">
        <v>65.5</v>
      </c>
      <c r="AN6" s="21">
        <f>155+30</f>
        <v>185</v>
      </c>
      <c r="AO6" s="30">
        <v>68.025000000000006</v>
      </c>
      <c r="AP6" s="21">
        <f>150+30</f>
        <v>180</v>
      </c>
      <c r="AQ6" s="30"/>
      <c r="AR6" s="21"/>
      <c r="AS6" s="30"/>
      <c r="AT6" s="21"/>
      <c r="AU6" s="27"/>
      <c r="AV6" s="4"/>
      <c r="AW6" s="30"/>
      <c r="AX6" s="4"/>
      <c r="AY6" s="30"/>
      <c r="AZ6" s="21"/>
    </row>
    <row r="7" spans="1:53" s="172" customFormat="1" x14ac:dyDescent="0.25">
      <c r="A7" s="139">
        <f t="shared" si="0"/>
        <v>3</v>
      </c>
      <c r="B7" s="135" t="s">
        <v>28</v>
      </c>
      <c r="C7" s="17">
        <v>1980</v>
      </c>
      <c r="D7" s="13" t="s">
        <v>19</v>
      </c>
      <c r="E7" s="9" t="s">
        <v>173</v>
      </c>
      <c r="F7" s="26">
        <f>H7+Z7+AR7+AV7+AX7+AZ7</f>
        <v>996</v>
      </c>
      <c r="G7" s="100">
        <v>65.947000000000003</v>
      </c>
      <c r="H7" s="4">
        <v>159</v>
      </c>
      <c r="I7" s="103"/>
      <c r="J7" s="21"/>
      <c r="K7" s="100">
        <v>64.239000000000004</v>
      </c>
      <c r="L7" s="4">
        <v>142</v>
      </c>
      <c r="M7" s="103">
        <v>68.17</v>
      </c>
      <c r="N7" s="6">
        <v>152</v>
      </c>
      <c r="O7" s="42"/>
      <c r="P7" s="4"/>
      <c r="Q7" s="4"/>
      <c r="R7" s="4"/>
      <c r="S7" s="4"/>
      <c r="T7" s="6"/>
      <c r="U7" s="42"/>
      <c r="V7" s="4"/>
      <c r="W7" s="4"/>
      <c r="X7" s="4"/>
      <c r="Y7" s="27">
        <v>63.9</v>
      </c>
      <c r="Z7" s="4">
        <f>139+30</f>
        <v>169</v>
      </c>
      <c r="AA7" s="30"/>
      <c r="AB7" s="4"/>
      <c r="AC7" s="30"/>
      <c r="AD7" s="21"/>
      <c r="AE7" s="27">
        <v>65.543000000000006</v>
      </c>
      <c r="AF7" s="4">
        <v>155</v>
      </c>
      <c r="AG7" s="30">
        <v>67</v>
      </c>
      <c r="AH7" s="4">
        <v>140</v>
      </c>
      <c r="AI7" s="30"/>
      <c r="AJ7" s="21"/>
      <c r="AK7" s="30">
        <v>64</v>
      </c>
      <c r="AL7" s="21">
        <v>140</v>
      </c>
      <c r="AM7" s="30"/>
      <c r="AN7" s="21"/>
      <c r="AO7" s="30"/>
      <c r="AP7" s="21"/>
      <c r="AQ7" s="30">
        <v>62.847999999999999</v>
      </c>
      <c r="AR7" s="21">
        <f>128+30</f>
        <v>158</v>
      </c>
      <c r="AS7" s="30">
        <v>61.616999999999997</v>
      </c>
      <c r="AT7" s="21">
        <f>116+30</f>
        <v>146</v>
      </c>
      <c r="AU7" s="27">
        <v>65.891000000000005</v>
      </c>
      <c r="AV7" s="4">
        <v>159</v>
      </c>
      <c r="AW7" s="30">
        <v>69.67</v>
      </c>
      <c r="AX7" s="4">
        <v>167</v>
      </c>
      <c r="AY7" s="30">
        <v>68.388000000000005</v>
      </c>
      <c r="AZ7" s="21">
        <v>184</v>
      </c>
    </row>
    <row r="8" spans="1:53" s="172" customFormat="1" x14ac:dyDescent="0.25">
      <c r="A8" s="139">
        <f t="shared" si="0"/>
        <v>4</v>
      </c>
      <c r="B8" s="135" t="s">
        <v>18</v>
      </c>
      <c r="C8" s="17">
        <v>1990</v>
      </c>
      <c r="D8" s="13" t="s">
        <v>19</v>
      </c>
      <c r="E8" s="9" t="s">
        <v>33</v>
      </c>
      <c r="F8" s="26">
        <f>J8+L8+X8+AF8+AJ8</f>
        <v>912</v>
      </c>
      <c r="G8" s="99"/>
      <c r="H8" s="56"/>
      <c r="I8" s="101">
        <v>68.489000000000004</v>
      </c>
      <c r="J8" s="52">
        <v>185</v>
      </c>
      <c r="K8" s="99">
        <v>68.152000000000001</v>
      </c>
      <c r="L8" s="56">
        <v>182</v>
      </c>
      <c r="M8" s="101"/>
      <c r="N8" s="63"/>
      <c r="O8" s="27"/>
      <c r="P8" s="4"/>
      <c r="Q8" s="30"/>
      <c r="R8" s="4"/>
      <c r="S8" s="4"/>
      <c r="T8" s="6"/>
      <c r="U8" s="27">
        <v>64.022000000000006</v>
      </c>
      <c r="V8" s="4">
        <f>140+30</f>
        <v>170</v>
      </c>
      <c r="W8" s="30">
        <v>65.510999999999996</v>
      </c>
      <c r="X8" s="4">
        <f>155+30</f>
        <v>185</v>
      </c>
      <c r="Y8" s="27">
        <v>66.564999999999998</v>
      </c>
      <c r="Z8" s="4">
        <f>166+30</f>
        <v>196</v>
      </c>
      <c r="AA8" s="30">
        <v>67.875</v>
      </c>
      <c r="AB8" s="4">
        <f>149+30</f>
        <v>179</v>
      </c>
      <c r="AC8" s="30"/>
      <c r="AD8" s="21"/>
      <c r="AE8" s="27">
        <v>68.087000000000003</v>
      </c>
      <c r="AF8" s="4">
        <v>181</v>
      </c>
      <c r="AG8" s="30"/>
      <c r="AH8" s="4"/>
      <c r="AI8" s="30">
        <v>67.915000000000006</v>
      </c>
      <c r="AJ8" s="21">
        <v>179</v>
      </c>
      <c r="AK8" s="30">
        <v>65.900000000000006</v>
      </c>
      <c r="AL8" s="21">
        <v>159</v>
      </c>
      <c r="AM8" s="30"/>
      <c r="AN8" s="21"/>
      <c r="AO8" s="30"/>
      <c r="AP8" s="21"/>
      <c r="AQ8" s="30"/>
      <c r="AR8" s="21"/>
      <c r="AS8" s="30"/>
      <c r="AT8" s="21"/>
      <c r="AU8" s="27"/>
      <c r="AV8" s="4"/>
      <c r="AW8" s="30">
        <v>68.569999999999993</v>
      </c>
      <c r="AX8" s="4">
        <v>156</v>
      </c>
      <c r="AY8" s="30">
        <v>67.456000000000003</v>
      </c>
      <c r="AZ8" s="21">
        <v>175</v>
      </c>
    </row>
    <row r="9" spans="1:53" s="172" customFormat="1" x14ac:dyDescent="0.25">
      <c r="A9" s="139">
        <f t="shared" si="0"/>
        <v>4</v>
      </c>
      <c r="B9" s="135" t="s">
        <v>39</v>
      </c>
      <c r="C9" s="17">
        <v>1996</v>
      </c>
      <c r="D9" s="13" t="s">
        <v>19</v>
      </c>
      <c r="E9" s="9" t="s">
        <v>40</v>
      </c>
      <c r="F9" s="26">
        <f>H9+P9+R9+AF9+AV9+AZ9</f>
        <v>912</v>
      </c>
      <c r="G9" s="100">
        <v>66.132000000000005</v>
      </c>
      <c r="H9" s="4">
        <v>161</v>
      </c>
      <c r="I9" s="103">
        <v>63.573999999999998</v>
      </c>
      <c r="J9" s="21">
        <v>136</v>
      </c>
      <c r="K9" s="100">
        <v>63.195999999999998</v>
      </c>
      <c r="L9" s="4">
        <v>132</v>
      </c>
      <c r="M9" s="103"/>
      <c r="N9" s="6"/>
      <c r="O9" s="27">
        <v>63.412999999999997</v>
      </c>
      <c r="P9" s="4">
        <f>134+30</f>
        <v>164</v>
      </c>
      <c r="Q9" s="4">
        <v>65.48</v>
      </c>
      <c r="R9" s="4">
        <f>125+30</f>
        <v>155</v>
      </c>
      <c r="S9" s="4"/>
      <c r="T9" s="6"/>
      <c r="U9" s="27"/>
      <c r="V9" s="4"/>
      <c r="W9" s="4"/>
      <c r="X9" s="4"/>
      <c r="Y9" s="27"/>
      <c r="Z9" s="4"/>
      <c r="AA9" s="30"/>
      <c r="AB9" s="4"/>
      <c r="AC9" s="30"/>
      <c r="AD9" s="21"/>
      <c r="AE9" s="27">
        <v>63.109000000000002</v>
      </c>
      <c r="AF9" s="4">
        <v>139</v>
      </c>
      <c r="AG9" s="30"/>
      <c r="AH9" s="4"/>
      <c r="AI9" s="30"/>
      <c r="AJ9" s="21"/>
      <c r="AK9" s="30">
        <v>62.863</v>
      </c>
      <c r="AL9" s="21">
        <v>129</v>
      </c>
      <c r="AM9" s="30"/>
      <c r="AN9" s="21"/>
      <c r="AO9" s="30"/>
      <c r="AP9" s="21"/>
      <c r="AQ9" s="30"/>
      <c r="AR9" s="21"/>
      <c r="AS9" s="30"/>
      <c r="AT9" s="21"/>
      <c r="AU9" s="27">
        <v>64.652000000000001</v>
      </c>
      <c r="AV9" s="4">
        <v>147</v>
      </c>
      <c r="AW9" s="30">
        <v>65.73</v>
      </c>
      <c r="AX9" s="4">
        <v>127</v>
      </c>
      <c r="AY9" s="30">
        <v>64.575999999999993</v>
      </c>
      <c r="AZ9" s="21">
        <v>146</v>
      </c>
    </row>
    <row r="10" spans="1:53" s="172" customFormat="1" x14ac:dyDescent="0.25">
      <c r="A10" s="139">
        <f t="shared" si="0"/>
        <v>6</v>
      </c>
      <c r="B10" s="190" t="s">
        <v>176</v>
      </c>
      <c r="C10" s="18">
        <v>1987</v>
      </c>
      <c r="D10" s="14" t="s">
        <v>19</v>
      </c>
      <c r="E10" s="10" t="s">
        <v>147</v>
      </c>
      <c r="F10" s="26">
        <f>L10+N10+AF10+AH10+AV10+AX10</f>
        <v>827</v>
      </c>
      <c r="G10" s="97"/>
      <c r="H10" s="58"/>
      <c r="I10" s="102"/>
      <c r="J10" s="59"/>
      <c r="K10" s="97">
        <v>63.173999999999999</v>
      </c>
      <c r="L10" s="58">
        <v>132</v>
      </c>
      <c r="M10" s="102">
        <v>63.975000000000001</v>
      </c>
      <c r="N10" s="64">
        <v>109</v>
      </c>
      <c r="O10" s="27"/>
      <c r="P10" s="4"/>
      <c r="Q10" s="4"/>
      <c r="R10" s="4"/>
      <c r="S10" s="4"/>
      <c r="T10" s="6"/>
      <c r="U10" s="27"/>
      <c r="V10" s="4"/>
      <c r="W10" s="4"/>
      <c r="X10" s="4"/>
      <c r="Y10" s="27"/>
      <c r="Z10" s="4"/>
      <c r="AA10" s="30"/>
      <c r="AB10" s="4"/>
      <c r="AC10" s="30"/>
      <c r="AD10" s="21"/>
      <c r="AE10" s="27">
        <v>64.847999999999999</v>
      </c>
      <c r="AF10" s="4">
        <v>148</v>
      </c>
      <c r="AG10" s="30">
        <v>67.14</v>
      </c>
      <c r="AH10" s="4">
        <v>141</v>
      </c>
      <c r="AI10" s="30"/>
      <c r="AJ10" s="21"/>
      <c r="AK10" s="30"/>
      <c r="AL10" s="21"/>
      <c r="AM10" s="30"/>
      <c r="AN10" s="21"/>
      <c r="AO10" s="30"/>
      <c r="AP10" s="21"/>
      <c r="AQ10" s="30"/>
      <c r="AR10" s="21"/>
      <c r="AS10" s="30"/>
      <c r="AT10" s="21"/>
      <c r="AU10" s="27">
        <v>65.216999999999999</v>
      </c>
      <c r="AV10" s="4">
        <v>152</v>
      </c>
      <c r="AW10" s="30">
        <v>67.48</v>
      </c>
      <c r="AX10" s="4">
        <v>145</v>
      </c>
      <c r="AY10" s="30"/>
      <c r="AZ10" s="21"/>
    </row>
    <row r="11" spans="1:53" s="172" customFormat="1" x14ac:dyDescent="0.25">
      <c r="A11" s="139">
        <f t="shared" si="0"/>
        <v>7</v>
      </c>
      <c r="B11" s="93" t="s">
        <v>39</v>
      </c>
      <c r="C11" s="19">
        <v>1996</v>
      </c>
      <c r="D11" s="15" t="s">
        <v>19</v>
      </c>
      <c r="E11" s="11" t="s">
        <v>165</v>
      </c>
      <c r="F11" s="26">
        <f>H11+L11+N11+AF11+AH11+AL11</f>
        <v>808</v>
      </c>
      <c r="G11" s="100">
        <v>66.632000000000005</v>
      </c>
      <c r="H11" s="4">
        <v>166</v>
      </c>
      <c r="I11" s="103"/>
      <c r="J11" s="21"/>
      <c r="K11" s="100">
        <v>61.326000000000001</v>
      </c>
      <c r="L11" s="4">
        <v>113</v>
      </c>
      <c r="M11" s="103">
        <v>62.5</v>
      </c>
      <c r="N11" s="6">
        <v>125</v>
      </c>
      <c r="O11" s="27"/>
      <c r="P11" s="4"/>
      <c r="Q11" s="4"/>
      <c r="R11" s="4"/>
      <c r="S11" s="4"/>
      <c r="T11" s="6"/>
      <c r="U11" s="27"/>
      <c r="V11" s="4"/>
      <c r="W11" s="4"/>
      <c r="X11" s="4"/>
      <c r="Y11" s="27"/>
      <c r="Z11" s="4"/>
      <c r="AA11" s="30"/>
      <c r="AB11" s="4"/>
      <c r="AC11" s="30"/>
      <c r="AD11" s="21"/>
      <c r="AE11" s="27">
        <v>64.608999999999995</v>
      </c>
      <c r="AF11" s="4">
        <v>146</v>
      </c>
      <c r="AG11" s="30">
        <v>66.63</v>
      </c>
      <c r="AH11" s="4">
        <v>136</v>
      </c>
      <c r="AI11" s="30"/>
      <c r="AJ11" s="21"/>
      <c r="AK11" s="30">
        <v>62.158000000000001</v>
      </c>
      <c r="AL11" s="21">
        <v>122</v>
      </c>
      <c r="AM11" s="30"/>
      <c r="AN11" s="21"/>
      <c r="AO11" s="30"/>
      <c r="AP11" s="21"/>
      <c r="AQ11" s="30"/>
      <c r="AR11" s="21"/>
      <c r="AS11" s="30"/>
      <c r="AT11" s="21"/>
      <c r="AU11" s="27"/>
      <c r="AV11" s="4"/>
      <c r="AW11" s="30"/>
      <c r="AX11" s="4"/>
      <c r="AY11" s="30"/>
      <c r="AZ11" s="21"/>
    </row>
    <row r="12" spans="1:53" s="172" customFormat="1" x14ac:dyDescent="0.25">
      <c r="A12" s="139">
        <f t="shared" si="0"/>
        <v>8</v>
      </c>
      <c r="B12" s="93" t="s">
        <v>62</v>
      </c>
      <c r="C12" s="19">
        <v>1999</v>
      </c>
      <c r="D12" s="15" t="s">
        <v>19</v>
      </c>
      <c r="E12" s="11" t="s">
        <v>23</v>
      </c>
      <c r="F12" s="26">
        <f>H12+L12+N12+P12+R12</f>
        <v>795</v>
      </c>
      <c r="G12" s="100">
        <v>65.025999999999996</v>
      </c>
      <c r="H12" s="4">
        <v>150</v>
      </c>
      <c r="I12" s="103"/>
      <c r="J12" s="21"/>
      <c r="K12" s="100">
        <v>65.674000000000007</v>
      </c>
      <c r="L12" s="4">
        <v>157</v>
      </c>
      <c r="M12" s="103">
        <v>69.125</v>
      </c>
      <c r="N12" s="6">
        <v>161</v>
      </c>
      <c r="O12" s="27">
        <v>62.912999999999997</v>
      </c>
      <c r="P12" s="4">
        <f>125+30</f>
        <v>155</v>
      </c>
      <c r="Q12" s="4">
        <v>67.224999999999994</v>
      </c>
      <c r="R12" s="4">
        <f>142+30</f>
        <v>172</v>
      </c>
      <c r="S12" s="4"/>
      <c r="T12" s="6"/>
      <c r="U12" s="27"/>
      <c r="V12" s="4"/>
      <c r="W12" s="4"/>
      <c r="X12" s="4"/>
      <c r="Y12" s="27"/>
      <c r="Z12" s="4"/>
      <c r="AA12" s="30"/>
      <c r="AB12" s="4"/>
      <c r="AC12" s="30"/>
      <c r="AD12" s="21"/>
      <c r="AE12" s="27"/>
      <c r="AF12" s="4"/>
      <c r="AG12" s="30"/>
      <c r="AH12" s="4"/>
      <c r="AI12" s="30"/>
      <c r="AJ12" s="21"/>
      <c r="AK12" s="30"/>
      <c r="AL12" s="21"/>
      <c r="AM12" s="30"/>
      <c r="AN12" s="21"/>
      <c r="AO12" s="30"/>
      <c r="AP12" s="21"/>
      <c r="AQ12" s="30"/>
      <c r="AR12" s="21"/>
      <c r="AS12" s="30"/>
      <c r="AT12" s="21"/>
      <c r="AU12" s="27"/>
      <c r="AV12" s="4"/>
      <c r="AW12" s="30"/>
      <c r="AX12" s="4"/>
      <c r="AY12" s="30"/>
      <c r="AZ12" s="21"/>
    </row>
    <row r="13" spans="1:53" s="172" customFormat="1" ht="30" hidden="1" x14ac:dyDescent="0.25">
      <c r="A13" s="139">
        <f t="shared" si="0"/>
        <v>19</v>
      </c>
      <c r="B13" s="93" t="s">
        <v>21</v>
      </c>
      <c r="C13" s="19">
        <v>1984</v>
      </c>
      <c r="D13" s="15" t="s">
        <v>19</v>
      </c>
      <c r="E13" s="32" t="s">
        <v>34</v>
      </c>
      <c r="F13" s="26"/>
      <c r="G13" s="100"/>
      <c r="H13" s="4"/>
      <c r="I13" s="103"/>
      <c r="J13" s="21"/>
      <c r="K13" s="100"/>
      <c r="L13" s="4"/>
      <c r="M13" s="103"/>
      <c r="N13" s="6"/>
      <c r="O13" s="42"/>
      <c r="P13" s="4"/>
      <c r="Q13" s="4"/>
      <c r="R13" s="4"/>
      <c r="S13" s="4"/>
      <c r="T13" s="6"/>
      <c r="U13" s="42"/>
      <c r="V13" s="4"/>
      <c r="W13" s="4"/>
      <c r="X13" s="4"/>
      <c r="Y13" s="27"/>
      <c r="Z13" s="4"/>
      <c r="AA13" s="30"/>
      <c r="AB13" s="4"/>
      <c r="AC13" s="30"/>
      <c r="AD13" s="21"/>
      <c r="AE13" s="27"/>
      <c r="AF13" s="4"/>
      <c r="AG13" s="30"/>
      <c r="AH13" s="4"/>
      <c r="AI13" s="30"/>
      <c r="AJ13" s="21"/>
      <c r="AK13" s="30"/>
      <c r="AL13" s="21"/>
      <c r="AM13" s="30"/>
      <c r="AN13" s="21"/>
      <c r="AO13" s="30"/>
      <c r="AP13" s="21"/>
      <c r="AQ13" s="30"/>
      <c r="AR13" s="21"/>
      <c r="AS13" s="30"/>
      <c r="AT13" s="21"/>
      <c r="AU13" s="27"/>
      <c r="AV13" s="4"/>
      <c r="AW13" s="30"/>
      <c r="AX13" s="4"/>
      <c r="AY13" s="30"/>
      <c r="AZ13" s="21"/>
    </row>
    <row r="14" spans="1:53" s="172" customFormat="1" x14ac:dyDescent="0.25">
      <c r="A14" s="139">
        <f t="shared" si="0"/>
        <v>9</v>
      </c>
      <c r="B14" s="93" t="s">
        <v>16</v>
      </c>
      <c r="C14" s="19">
        <v>1966</v>
      </c>
      <c r="D14" s="15" t="s">
        <v>12</v>
      </c>
      <c r="E14" s="11" t="s">
        <v>17</v>
      </c>
      <c r="F14" s="26">
        <f>H14+N14+V14+X14</f>
        <v>732</v>
      </c>
      <c r="G14" s="99">
        <v>68.552999999999997</v>
      </c>
      <c r="H14" s="56">
        <v>186</v>
      </c>
      <c r="I14" s="101"/>
      <c r="J14" s="52"/>
      <c r="K14" s="99"/>
      <c r="L14" s="56"/>
      <c r="M14" s="101">
        <v>70.605000000000004</v>
      </c>
      <c r="N14" s="63">
        <v>176</v>
      </c>
      <c r="O14" s="27"/>
      <c r="P14" s="4"/>
      <c r="Q14" s="30"/>
      <c r="R14" s="4"/>
      <c r="S14" s="4"/>
      <c r="T14" s="6" t="s">
        <v>170</v>
      </c>
      <c r="U14" s="27">
        <v>64.63</v>
      </c>
      <c r="V14" s="4">
        <f>146+30</f>
        <v>176</v>
      </c>
      <c r="W14" s="30">
        <v>66.361999999999995</v>
      </c>
      <c r="X14" s="4">
        <f>164+30</f>
        <v>194</v>
      </c>
      <c r="Y14" s="27"/>
      <c r="Z14" s="4"/>
      <c r="AA14" s="30"/>
      <c r="AB14" s="4"/>
      <c r="AC14" s="30"/>
      <c r="AD14" s="21"/>
      <c r="AE14" s="27"/>
      <c r="AF14" s="4"/>
      <c r="AG14" s="30"/>
      <c r="AH14" s="4"/>
      <c r="AI14" s="30"/>
      <c r="AJ14" s="21"/>
      <c r="AK14" s="30"/>
      <c r="AL14" s="21"/>
      <c r="AM14" s="30"/>
      <c r="AN14" s="21"/>
      <c r="AO14" s="30"/>
      <c r="AP14" s="21"/>
      <c r="AQ14" s="30"/>
      <c r="AR14" s="21"/>
      <c r="AS14" s="30"/>
      <c r="AT14" s="21"/>
      <c r="AU14" s="27"/>
      <c r="AV14" s="4"/>
      <c r="AW14" s="30"/>
      <c r="AX14" s="4"/>
      <c r="AY14" s="30"/>
      <c r="AZ14" s="21"/>
    </row>
    <row r="15" spans="1:53" s="172" customFormat="1" x14ac:dyDescent="0.25">
      <c r="A15" s="139">
        <f t="shared" si="0"/>
        <v>10</v>
      </c>
      <c r="B15" s="93" t="s">
        <v>185</v>
      </c>
      <c r="C15" s="19">
        <v>1985</v>
      </c>
      <c r="D15" s="36" t="s">
        <v>19</v>
      </c>
      <c r="E15" s="11" t="s">
        <v>203</v>
      </c>
      <c r="F15" s="26">
        <f>P15+R15+Z15+AB15</f>
        <v>716</v>
      </c>
      <c r="G15" s="100"/>
      <c r="H15" s="4"/>
      <c r="I15" s="103"/>
      <c r="J15" s="21"/>
      <c r="K15" s="100"/>
      <c r="L15" s="4"/>
      <c r="M15" s="103"/>
      <c r="N15" s="6"/>
      <c r="O15" s="27">
        <v>66.674000000000007</v>
      </c>
      <c r="P15" s="4">
        <f>167+30</f>
        <v>197</v>
      </c>
      <c r="Q15" s="4">
        <v>68.81</v>
      </c>
      <c r="R15" s="4">
        <f>158+30</f>
        <v>188</v>
      </c>
      <c r="S15" s="4"/>
      <c r="T15" s="6"/>
      <c r="U15" s="27"/>
      <c r="V15" s="4"/>
      <c r="W15" s="4"/>
      <c r="X15" s="4"/>
      <c r="Y15" s="27">
        <v>63.609000000000002</v>
      </c>
      <c r="Z15" s="4">
        <f>136+30</f>
        <v>166</v>
      </c>
      <c r="AA15" s="30">
        <v>66.474999999999994</v>
      </c>
      <c r="AB15" s="4">
        <f>135+30</f>
        <v>165</v>
      </c>
      <c r="AC15" s="30"/>
      <c r="AD15" s="21"/>
      <c r="AE15" s="27"/>
      <c r="AF15" s="4"/>
      <c r="AG15" s="30"/>
      <c r="AH15" s="4"/>
      <c r="AI15" s="30"/>
      <c r="AJ15" s="21"/>
      <c r="AK15" s="30"/>
      <c r="AL15" s="21"/>
      <c r="AM15" s="30"/>
      <c r="AN15" s="21"/>
      <c r="AO15" s="30"/>
      <c r="AP15" s="21"/>
      <c r="AQ15" s="30"/>
      <c r="AR15" s="21"/>
      <c r="AS15" s="30"/>
      <c r="AT15" s="21"/>
      <c r="AU15" s="27"/>
      <c r="AV15" s="4"/>
      <c r="AW15" s="30"/>
      <c r="AX15" s="4"/>
      <c r="AY15" s="30"/>
      <c r="AZ15" s="21"/>
    </row>
    <row r="16" spans="1:53" s="172" customFormat="1" x14ac:dyDescent="0.25">
      <c r="A16" s="139">
        <f t="shared" si="0"/>
        <v>11</v>
      </c>
      <c r="B16" s="7" t="s">
        <v>11</v>
      </c>
      <c r="C16" s="201">
        <v>1984</v>
      </c>
      <c r="D16" s="202" t="s">
        <v>12</v>
      </c>
      <c r="E16" s="33" t="s">
        <v>13</v>
      </c>
      <c r="F16" s="26">
        <f>P16+R16+AF16</f>
        <v>642</v>
      </c>
      <c r="G16" s="99"/>
      <c r="H16" s="56"/>
      <c r="I16" s="101"/>
      <c r="J16" s="52"/>
      <c r="K16" s="99"/>
      <c r="L16" s="56"/>
      <c r="M16" s="101"/>
      <c r="N16" s="63"/>
      <c r="O16" s="27">
        <v>71.064999999999998</v>
      </c>
      <c r="P16" s="4">
        <f>181+30</f>
        <v>211</v>
      </c>
      <c r="Q16" s="30">
        <v>72.734999999999999</v>
      </c>
      <c r="R16" s="4">
        <f>197+30</f>
        <v>227</v>
      </c>
      <c r="S16" s="4"/>
      <c r="T16" s="6"/>
      <c r="U16" s="27"/>
      <c r="V16" s="4"/>
      <c r="W16" s="30"/>
      <c r="X16" s="4"/>
      <c r="Y16" s="27"/>
      <c r="Z16" s="4"/>
      <c r="AA16" s="30"/>
      <c r="AB16" s="4"/>
      <c r="AC16" s="30"/>
      <c r="AD16" s="21"/>
      <c r="AE16" s="27">
        <v>70.391000000000005</v>
      </c>
      <c r="AF16" s="4">
        <v>204</v>
      </c>
      <c r="AG16" s="30"/>
      <c r="AH16" s="4"/>
      <c r="AI16" s="30"/>
      <c r="AJ16" s="21"/>
      <c r="AK16" s="30"/>
      <c r="AL16" s="21"/>
      <c r="AM16" s="30"/>
      <c r="AN16" s="21"/>
      <c r="AO16" s="30"/>
      <c r="AP16" s="21"/>
      <c r="AQ16" s="30"/>
      <c r="AR16" s="21"/>
      <c r="AS16" s="30"/>
      <c r="AT16" s="21"/>
      <c r="AU16" s="27"/>
      <c r="AV16" s="4"/>
      <c r="AW16" s="30"/>
      <c r="AX16" s="4"/>
      <c r="AY16" s="30"/>
      <c r="AZ16" s="21"/>
    </row>
    <row r="17" spans="1:52" s="172" customFormat="1" x14ac:dyDescent="0.25">
      <c r="A17" s="139">
        <f t="shared" si="0"/>
        <v>12</v>
      </c>
      <c r="B17" s="93" t="s">
        <v>31</v>
      </c>
      <c r="C17" s="19">
        <v>1992</v>
      </c>
      <c r="D17" s="15" t="s">
        <v>19</v>
      </c>
      <c r="E17" s="11" t="s">
        <v>32</v>
      </c>
      <c r="F17" s="26">
        <f>L17+N17+AF17+AH17</f>
        <v>526</v>
      </c>
      <c r="G17" s="97"/>
      <c r="H17" s="58"/>
      <c r="I17" s="102"/>
      <c r="J17" s="59"/>
      <c r="K17" s="97">
        <v>63.064999999999998</v>
      </c>
      <c r="L17" s="58">
        <v>131</v>
      </c>
      <c r="M17" s="102">
        <v>65.084999999999994</v>
      </c>
      <c r="N17" s="64">
        <v>121</v>
      </c>
      <c r="O17" s="42"/>
      <c r="P17" s="4"/>
      <c r="Q17" s="4"/>
      <c r="R17" s="4"/>
      <c r="S17" s="4"/>
      <c r="T17" s="6"/>
      <c r="U17" s="42"/>
      <c r="V17" s="4"/>
      <c r="W17" s="4"/>
      <c r="X17" s="4"/>
      <c r="Y17" s="27"/>
      <c r="Z17" s="4"/>
      <c r="AA17" s="30"/>
      <c r="AB17" s="4"/>
      <c r="AC17" s="30"/>
      <c r="AD17" s="21"/>
      <c r="AE17" s="27">
        <v>65.022000000000006</v>
      </c>
      <c r="AF17" s="4">
        <v>150</v>
      </c>
      <c r="AG17" s="30">
        <v>65.39</v>
      </c>
      <c r="AH17" s="4">
        <v>124</v>
      </c>
      <c r="AI17" s="30"/>
      <c r="AJ17" s="21"/>
      <c r="AK17" s="30"/>
      <c r="AL17" s="21"/>
      <c r="AM17" s="30"/>
      <c r="AN17" s="21"/>
      <c r="AO17" s="30"/>
      <c r="AP17" s="21"/>
      <c r="AQ17" s="30"/>
      <c r="AR17" s="21"/>
      <c r="AS17" s="30"/>
      <c r="AT17" s="21"/>
      <c r="AU17" s="27"/>
      <c r="AV17" s="4"/>
      <c r="AW17" s="30"/>
      <c r="AX17" s="4"/>
      <c r="AY17" s="30"/>
      <c r="AZ17" s="21"/>
    </row>
    <row r="18" spans="1:52" s="172" customFormat="1" ht="14.25" customHeight="1" x14ac:dyDescent="0.25">
      <c r="A18" s="139">
        <f t="shared" si="0"/>
        <v>13</v>
      </c>
      <c r="B18" s="93" t="s">
        <v>21</v>
      </c>
      <c r="C18" s="19">
        <v>1984</v>
      </c>
      <c r="D18" s="15" t="s">
        <v>19</v>
      </c>
      <c r="E18" s="11" t="s">
        <v>17</v>
      </c>
      <c r="F18" s="26">
        <f>AF18+AH18+AX18+AZ18</f>
        <v>490</v>
      </c>
      <c r="G18" s="97"/>
      <c r="H18" s="58"/>
      <c r="I18" s="102"/>
      <c r="J18" s="59"/>
      <c r="K18" s="97"/>
      <c r="L18" s="58"/>
      <c r="M18" s="102"/>
      <c r="N18" s="64"/>
      <c r="O18" s="27"/>
      <c r="P18" s="4"/>
      <c r="Q18" s="4"/>
      <c r="R18" s="4"/>
      <c r="S18" s="4"/>
      <c r="T18" s="6"/>
      <c r="U18" s="27"/>
      <c r="V18" s="4"/>
      <c r="W18" s="4"/>
      <c r="X18" s="4"/>
      <c r="Y18" s="27"/>
      <c r="Z18" s="4"/>
      <c r="AA18" s="30"/>
      <c r="AB18" s="4"/>
      <c r="AC18" s="30"/>
      <c r="AD18" s="21"/>
      <c r="AE18" s="27">
        <v>61.347999999999999</v>
      </c>
      <c r="AF18" s="4">
        <v>113</v>
      </c>
      <c r="AG18" s="30">
        <v>64.2</v>
      </c>
      <c r="AH18" s="4">
        <v>112</v>
      </c>
      <c r="AI18" s="30"/>
      <c r="AJ18" s="21"/>
      <c r="AK18" s="30"/>
      <c r="AL18" s="21"/>
      <c r="AM18" s="30"/>
      <c r="AN18" s="21"/>
      <c r="AO18" s="30"/>
      <c r="AP18" s="21"/>
      <c r="AQ18" s="30"/>
      <c r="AR18" s="21"/>
      <c r="AS18" s="30"/>
      <c r="AT18" s="21"/>
      <c r="AU18" s="27"/>
      <c r="AV18" s="4"/>
      <c r="AW18" s="30">
        <v>64.099999999999994</v>
      </c>
      <c r="AX18" s="4">
        <v>141</v>
      </c>
      <c r="AY18" s="30">
        <v>65.400000000000006</v>
      </c>
      <c r="AZ18" s="21">
        <v>124</v>
      </c>
    </row>
    <row r="19" spans="1:52" s="172" customFormat="1" x14ac:dyDescent="0.25">
      <c r="A19" s="139">
        <f t="shared" si="0"/>
        <v>14</v>
      </c>
      <c r="B19" s="93" t="s">
        <v>25</v>
      </c>
      <c r="C19" s="19">
        <v>1984</v>
      </c>
      <c r="D19" s="15" t="s">
        <v>12</v>
      </c>
      <c r="E19" s="11" t="s">
        <v>26</v>
      </c>
      <c r="F19" s="26">
        <f>AF19+AH19</f>
        <v>355</v>
      </c>
      <c r="G19" s="107"/>
      <c r="H19" s="108"/>
      <c r="I19" s="109"/>
      <c r="J19" s="110"/>
      <c r="K19" s="107"/>
      <c r="L19" s="108"/>
      <c r="M19" s="109"/>
      <c r="N19" s="111"/>
      <c r="O19" s="27"/>
      <c r="P19" s="4"/>
      <c r="Q19" s="30"/>
      <c r="R19" s="4"/>
      <c r="S19" s="4"/>
      <c r="T19" s="6"/>
      <c r="U19" s="27"/>
      <c r="V19" s="4"/>
      <c r="W19" s="30"/>
      <c r="X19" s="4"/>
      <c r="Y19" s="27"/>
      <c r="Z19" s="4"/>
      <c r="AA19" s="30"/>
      <c r="AB19" s="4"/>
      <c r="AC19" s="30"/>
      <c r="AD19" s="21"/>
      <c r="AE19" s="27">
        <v>68.87</v>
      </c>
      <c r="AF19" s="4">
        <v>189</v>
      </c>
      <c r="AG19" s="30">
        <v>69.55</v>
      </c>
      <c r="AH19" s="4">
        <v>166</v>
      </c>
      <c r="AI19" s="30"/>
      <c r="AJ19" s="21"/>
      <c r="AK19" s="30"/>
      <c r="AL19" s="21"/>
      <c r="AM19" s="30"/>
      <c r="AN19" s="21"/>
      <c r="AO19" s="30"/>
      <c r="AP19" s="21"/>
      <c r="AQ19" s="30"/>
      <c r="AR19" s="21"/>
      <c r="AS19" s="30"/>
      <c r="AT19" s="21"/>
      <c r="AU19" s="27"/>
      <c r="AV19" s="4"/>
      <c r="AW19" s="30"/>
      <c r="AX19" s="4"/>
      <c r="AY19" s="30"/>
      <c r="AZ19" s="21"/>
    </row>
    <row r="20" spans="1:52" s="172" customFormat="1" ht="14.25" customHeight="1" x14ac:dyDescent="0.25">
      <c r="A20" s="139">
        <f t="shared" si="0"/>
        <v>15</v>
      </c>
      <c r="B20" s="93" t="s">
        <v>230</v>
      </c>
      <c r="C20" s="19">
        <v>1994</v>
      </c>
      <c r="D20" s="15" t="s">
        <v>19</v>
      </c>
      <c r="E20" s="11" t="s">
        <v>54</v>
      </c>
      <c r="F20" s="26">
        <f>AF20+AH20</f>
        <v>229</v>
      </c>
      <c r="G20" s="97"/>
      <c r="H20" s="58"/>
      <c r="I20" s="102"/>
      <c r="J20" s="59"/>
      <c r="K20" s="97"/>
      <c r="L20" s="58"/>
      <c r="M20" s="102"/>
      <c r="N20" s="64"/>
      <c r="O20" s="27"/>
      <c r="P20" s="4"/>
      <c r="Q20" s="4"/>
      <c r="R20" s="4"/>
      <c r="S20" s="4"/>
      <c r="T20" s="6"/>
      <c r="U20" s="27"/>
      <c r="V20" s="4"/>
      <c r="W20" s="4"/>
      <c r="X20" s="4"/>
      <c r="Y20" s="27"/>
      <c r="Z20" s="4"/>
      <c r="AA20" s="30"/>
      <c r="AB20" s="4"/>
      <c r="AC20" s="30"/>
      <c r="AD20" s="21"/>
      <c r="AE20" s="27">
        <v>62.064999999999998</v>
      </c>
      <c r="AF20" s="4">
        <v>125</v>
      </c>
      <c r="AG20" s="30">
        <v>60.354999999999997</v>
      </c>
      <c r="AH20" s="4">
        <v>104</v>
      </c>
      <c r="AI20" s="30"/>
      <c r="AJ20" s="21"/>
      <c r="AK20" s="30"/>
      <c r="AL20" s="21"/>
      <c r="AM20" s="30"/>
      <c r="AN20" s="21"/>
      <c r="AO20" s="30"/>
      <c r="AP20" s="21"/>
      <c r="AQ20" s="30"/>
      <c r="AR20" s="21"/>
      <c r="AS20" s="30"/>
      <c r="AT20" s="21"/>
      <c r="AU20" s="27"/>
      <c r="AV20" s="4"/>
      <c r="AW20" s="30"/>
      <c r="AX20" s="4"/>
      <c r="AY20" s="30"/>
      <c r="AZ20" s="21"/>
    </row>
    <row r="21" spans="1:52" s="172" customFormat="1" ht="14.25" customHeight="1" x14ac:dyDescent="0.25">
      <c r="A21" s="139">
        <f t="shared" si="0"/>
        <v>16</v>
      </c>
      <c r="B21" s="93" t="s">
        <v>30</v>
      </c>
      <c r="C21" s="19">
        <v>1991</v>
      </c>
      <c r="D21" s="15" t="s">
        <v>12</v>
      </c>
      <c r="E21" s="175" t="s">
        <v>35</v>
      </c>
      <c r="F21" s="26">
        <f>L21</f>
        <v>197</v>
      </c>
      <c r="G21" s="107"/>
      <c r="H21" s="108"/>
      <c r="I21" s="109"/>
      <c r="J21" s="110"/>
      <c r="K21" s="107">
        <v>69.739000000000004</v>
      </c>
      <c r="L21" s="108">
        <v>197</v>
      </c>
      <c r="M21" s="109"/>
      <c r="N21" s="111"/>
      <c r="O21" s="27"/>
      <c r="P21" s="4"/>
      <c r="Q21" s="30"/>
      <c r="R21" s="4"/>
      <c r="S21" s="4"/>
      <c r="T21" s="6"/>
      <c r="U21" s="27"/>
      <c r="V21" s="4"/>
      <c r="W21" s="30"/>
      <c r="X21" s="4"/>
      <c r="Y21" s="27"/>
      <c r="Z21" s="4"/>
      <c r="AA21" s="30"/>
      <c r="AB21" s="4"/>
      <c r="AC21" s="30"/>
      <c r="AD21" s="21"/>
      <c r="AE21" s="27"/>
      <c r="AF21" s="4"/>
      <c r="AG21" s="30"/>
      <c r="AH21" s="4"/>
      <c r="AI21" s="30"/>
      <c r="AJ21" s="21"/>
      <c r="AK21" s="30"/>
      <c r="AL21" s="21"/>
      <c r="AM21" s="30"/>
      <c r="AN21" s="21"/>
      <c r="AO21" s="30"/>
      <c r="AP21" s="21"/>
      <c r="AQ21" s="30"/>
      <c r="AR21" s="21"/>
      <c r="AS21" s="30"/>
      <c r="AT21" s="21"/>
      <c r="AU21" s="27"/>
      <c r="AV21" s="4"/>
      <c r="AW21" s="30"/>
      <c r="AX21" s="4"/>
      <c r="AY21" s="30"/>
      <c r="AZ21" s="21"/>
    </row>
    <row r="22" spans="1:52" s="172" customFormat="1" ht="14.25" customHeight="1" x14ac:dyDescent="0.25">
      <c r="A22" s="139">
        <f t="shared" si="0"/>
        <v>17</v>
      </c>
      <c r="B22" s="93" t="s">
        <v>174</v>
      </c>
      <c r="C22" s="19">
        <v>1971</v>
      </c>
      <c r="D22" s="15" t="s">
        <v>19</v>
      </c>
      <c r="E22" s="11" t="s">
        <v>90</v>
      </c>
      <c r="F22" s="26">
        <f>H22+N22</f>
        <v>190</v>
      </c>
      <c r="G22" s="97">
        <v>60.131999999999998</v>
      </c>
      <c r="H22" s="58">
        <v>101</v>
      </c>
      <c r="I22" s="102"/>
      <c r="J22" s="59"/>
      <c r="K22" s="97"/>
      <c r="L22" s="58"/>
      <c r="M22" s="102">
        <v>61.88</v>
      </c>
      <c r="N22" s="64">
        <v>89</v>
      </c>
      <c r="O22" s="42"/>
      <c r="P22" s="4"/>
      <c r="Q22" s="4"/>
      <c r="R22" s="4"/>
      <c r="S22" s="4"/>
      <c r="T22" s="6"/>
      <c r="U22" s="42"/>
      <c r="V22" s="4"/>
      <c r="W22" s="4"/>
      <c r="X22" s="4"/>
      <c r="Y22" s="27"/>
      <c r="Z22" s="4"/>
      <c r="AA22" s="30"/>
      <c r="AB22" s="4"/>
      <c r="AC22" s="30"/>
      <c r="AD22" s="21"/>
      <c r="AE22" s="27"/>
      <c r="AF22" s="4"/>
      <c r="AG22" s="30"/>
      <c r="AH22" s="4"/>
      <c r="AI22" s="30"/>
      <c r="AJ22" s="21"/>
      <c r="AK22" s="30"/>
      <c r="AL22" s="21"/>
      <c r="AM22" s="30"/>
      <c r="AN22" s="21"/>
      <c r="AO22" s="30"/>
      <c r="AP22" s="21"/>
      <c r="AQ22" s="30"/>
      <c r="AR22" s="21"/>
      <c r="AS22" s="30"/>
      <c r="AT22" s="21"/>
      <c r="AU22" s="27"/>
      <c r="AV22" s="4"/>
      <c r="AW22" s="30"/>
      <c r="AX22" s="4"/>
      <c r="AY22" s="30"/>
      <c r="AZ22" s="21"/>
    </row>
    <row r="23" spans="1:52" s="172" customFormat="1" x14ac:dyDescent="0.25">
      <c r="A23" s="139">
        <f t="shared" si="0"/>
        <v>18</v>
      </c>
      <c r="B23" s="93" t="s">
        <v>18</v>
      </c>
      <c r="C23" s="19">
        <v>1990</v>
      </c>
      <c r="D23" s="15" t="s">
        <v>19</v>
      </c>
      <c r="E23" s="11" t="s">
        <v>20</v>
      </c>
      <c r="F23" s="26">
        <f>H23</f>
        <v>154</v>
      </c>
      <c r="G23" s="97">
        <v>65.447000000000003</v>
      </c>
      <c r="H23" s="58">
        <v>154</v>
      </c>
      <c r="I23" s="102"/>
      <c r="J23" s="59"/>
      <c r="K23" s="97"/>
      <c r="L23" s="58"/>
      <c r="M23" s="102"/>
      <c r="N23" s="64"/>
      <c r="O23" s="27"/>
      <c r="P23" s="4"/>
      <c r="Q23" s="4"/>
      <c r="R23" s="4"/>
      <c r="S23" s="4"/>
      <c r="T23" s="6"/>
      <c r="U23" s="27"/>
      <c r="V23" s="4"/>
      <c r="W23" s="4"/>
      <c r="X23" s="4"/>
      <c r="Y23" s="27"/>
      <c r="Z23" s="4"/>
      <c r="AA23" s="30"/>
      <c r="AB23" s="4"/>
      <c r="AC23" s="30"/>
      <c r="AD23" s="21"/>
      <c r="AE23" s="27"/>
      <c r="AF23" s="4"/>
      <c r="AG23" s="30"/>
      <c r="AH23" s="4"/>
      <c r="AI23" s="30"/>
      <c r="AJ23" s="21"/>
      <c r="AK23" s="30"/>
      <c r="AL23" s="21"/>
      <c r="AM23" s="30"/>
      <c r="AN23" s="21"/>
      <c r="AO23" s="30"/>
      <c r="AP23" s="21"/>
      <c r="AQ23" s="30"/>
      <c r="AR23" s="21"/>
      <c r="AS23" s="30"/>
      <c r="AT23" s="21"/>
      <c r="AU23" s="27"/>
      <c r="AV23" s="4"/>
      <c r="AW23" s="30"/>
      <c r="AX23" s="4"/>
      <c r="AY23" s="30"/>
      <c r="AZ23" s="21"/>
    </row>
    <row r="24" spans="1:52" s="174" customFormat="1" ht="33" customHeight="1" thickBot="1" x14ac:dyDescent="0.3">
      <c r="A24" s="140">
        <f t="shared" si="0"/>
        <v>19</v>
      </c>
      <c r="B24" s="187" t="s">
        <v>21</v>
      </c>
      <c r="C24" s="20">
        <v>1984</v>
      </c>
      <c r="D24" s="16" t="s">
        <v>19</v>
      </c>
      <c r="E24" s="12" t="s">
        <v>175</v>
      </c>
      <c r="F24" s="173">
        <f>H24</f>
        <v>0</v>
      </c>
      <c r="G24" s="188">
        <v>57</v>
      </c>
      <c r="H24" s="23">
        <v>0</v>
      </c>
      <c r="I24" s="189"/>
      <c r="J24" s="24"/>
      <c r="K24" s="188"/>
      <c r="L24" s="23"/>
      <c r="M24" s="189"/>
      <c r="N24" s="34"/>
      <c r="O24" s="28"/>
      <c r="P24" s="23"/>
      <c r="Q24" s="23"/>
      <c r="R24" s="23"/>
      <c r="S24" s="23"/>
      <c r="T24" s="34"/>
      <c r="U24" s="28"/>
      <c r="V24" s="23"/>
      <c r="W24" s="23"/>
      <c r="X24" s="23"/>
      <c r="Y24" s="28"/>
      <c r="Z24" s="23"/>
      <c r="AA24" s="31"/>
      <c r="AB24" s="23"/>
      <c r="AC24" s="31"/>
      <c r="AD24" s="24"/>
      <c r="AE24" s="28"/>
      <c r="AF24" s="23"/>
      <c r="AG24" s="31"/>
      <c r="AH24" s="23"/>
      <c r="AI24" s="31"/>
      <c r="AJ24" s="24"/>
      <c r="AK24" s="31"/>
      <c r="AL24" s="24"/>
      <c r="AM24" s="31"/>
      <c r="AN24" s="24"/>
      <c r="AO24" s="31"/>
      <c r="AP24" s="24"/>
      <c r="AQ24" s="31"/>
      <c r="AR24" s="24"/>
      <c r="AS24" s="31"/>
      <c r="AT24" s="24"/>
      <c r="AU24" s="28"/>
      <c r="AV24" s="23"/>
      <c r="AW24" s="31"/>
      <c r="AX24" s="23"/>
      <c r="AY24" s="31"/>
      <c r="AZ24" s="24"/>
    </row>
  </sheetData>
  <sortState ref="A5:BA24">
    <sortCondition ref="A5"/>
  </sortState>
  <mergeCells count="38">
    <mergeCell ref="W3:X3"/>
    <mergeCell ref="AQ2:AT2"/>
    <mergeCell ref="AQ3:AR3"/>
    <mergeCell ref="AS3:AT3"/>
    <mergeCell ref="Y2:AD2"/>
    <mergeCell ref="Y3:Z3"/>
    <mergeCell ref="AA3:AB3"/>
    <mergeCell ref="AC3:AD3"/>
    <mergeCell ref="AM3:AN3"/>
    <mergeCell ref="AO3:AP3"/>
    <mergeCell ref="AM2:AP2"/>
    <mergeCell ref="AE3:AF3"/>
    <mergeCell ref="AG3:AH3"/>
    <mergeCell ref="AI3:AJ3"/>
    <mergeCell ref="AK3:AL3"/>
    <mergeCell ref="AE2:AL2"/>
    <mergeCell ref="B3:B4"/>
    <mergeCell ref="A2:A4"/>
    <mergeCell ref="F2:F4"/>
    <mergeCell ref="B2:D2"/>
    <mergeCell ref="D3:D4"/>
    <mergeCell ref="E3:E4"/>
    <mergeCell ref="AU2:AZ2"/>
    <mergeCell ref="AU3:AV3"/>
    <mergeCell ref="AW3:AX3"/>
    <mergeCell ref="AY3:AZ3"/>
    <mergeCell ref="C3:C4"/>
    <mergeCell ref="O3:P3"/>
    <mergeCell ref="G3:H3"/>
    <mergeCell ref="I3:J3"/>
    <mergeCell ref="M3:N3"/>
    <mergeCell ref="K3:L3"/>
    <mergeCell ref="G2:N2"/>
    <mergeCell ref="Q3:R3"/>
    <mergeCell ref="S3:T3"/>
    <mergeCell ref="O2:T2"/>
    <mergeCell ref="U2:X2"/>
    <mergeCell ref="U3:V3"/>
  </mergeCells>
  <pageMargins left="0.7" right="0.7" top="0.75" bottom="0.75" header="0.3" footer="0.3"/>
  <pageSetup paperSize="9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29"/>
  <sheetViews>
    <sheetView zoomScale="90" zoomScaleNormal="90" workbookViewId="0">
      <selection activeCell="D11" sqref="D11"/>
    </sheetView>
  </sheetViews>
  <sheetFormatPr defaultRowHeight="15" x14ac:dyDescent="0.25"/>
  <cols>
    <col min="1" max="1" width="5.28515625" style="159" customWidth="1"/>
    <col min="2" max="2" width="27" customWidth="1"/>
    <col min="3" max="3" width="7.5703125" customWidth="1"/>
    <col min="4" max="4" width="7.85546875" customWidth="1"/>
    <col min="5" max="5" width="18.28515625" customWidth="1"/>
    <col min="6" max="6" width="7.42578125" style="159" customWidth="1"/>
    <col min="7" max="54" width="6.7109375" customWidth="1"/>
  </cols>
  <sheetData>
    <row r="1" spans="1:54" ht="15.75" thickBot="1" x14ac:dyDescent="0.3">
      <c r="A1" s="159" t="s">
        <v>251</v>
      </c>
      <c r="X1" t="e">
        <f>+G:ZE39J:ZFG:Z</f>
        <v>#NAME?</v>
      </c>
    </row>
    <row r="2" spans="1:54" ht="42.75" customHeight="1" thickBot="1" x14ac:dyDescent="0.3">
      <c r="A2" s="296" t="s">
        <v>0</v>
      </c>
      <c r="B2" s="265" t="s">
        <v>1</v>
      </c>
      <c r="C2" s="266"/>
      <c r="D2" s="267"/>
      <c r="E2" s="1" t="s">
        <v>2</v>
      </c>
      <c r="F2" s="308" t="s">
        <v>3</v>
      </c>
      <c r="G2" s="294" t="s">
        <v>177</v>
      </c>
      <c r="H2" s="295"/>
      <c r="I2" s="295"/>
      <c r="J2" s="311"/>
      <c r="K2" s="277" t="s">
        <v>237</v>
      </c>
      <c r="L2" s="278"/>
      <c r="M2" s="278"/>
      <c r="N2" s="278"/>
      <c r="O2" s="278"/>
      <c r="P2" s="278"/>
      <c r="Q2" s="313" t="s">
        <v>205</v>
      </c>
      <c r="R2" s="314"/>
      <c r="S2" s="314"/>
      <c r="T2" s="315"/>
      <c r="U2" s="294" t="s">
        <v>257</v>
      </c>
      <c r="V2" s="295"/>
      <c r="W2" s="295"/>
      <c r="X2" s="295"/>
      <c r="Y2" s="280" t="s">
        <v>227</v>
      </c>
      <c r="Z2" s="281"/>
      <c r="AA2" s="281"/>
      <c r="AB2" s="281"/>
      <c r="AC2" s="282"/>
      <c r="AD2" s="283"/>
      <c r="AE2" s="280" t="s">
        <v>241</v>
      </c>
      <c r="AF2" s="281"/>
      <c r="AG2" s="281"/>
      <c r="AH2" s="281"/>
      <c r="AI2" s="282"/>
      <c r="AJ2" s="283"/>
      <c r="AK2" s="280" t="s">
        <v>242</v>
      </c>
      <c r="AL2" s="281"/>
      <c r="AM2" s="281"/>
      <c r="AN2" s="281"/>
      <c r="AO2" s="282"/>
      <c r="AP2" s="283"/>
      <c r="AQ2" s="280" t="s">
        <v>268</v>
      </c>
      <c r="AR2" s="281"/>
      <c r="AS2" s="281"/>
      <c r="AT2" s="281"/>
      <c r="AU2" s="282"/>
      <c r="AV2" s="283"/>
      <c r="AW2" s="280" t="s">
        <v>269</v>
      </c>
      <c r="AX2" s="281"/>
      <c r="AY2" s="281"/>
      <c r="AZ2" s="281"/>
      <c r="BA2" s="282"/>
      <c r="BB2" s="283"/>
    </row>
    <row r="3" spans="1:54" ht="15.75" thickBot="1" x14ac:dyDescent="0.3">
      <c r="A3" s="297"/>
      <c r="B3" s="299" t="s">
        <v>4</v>
      </c>
      <c r="C3" s="301" t="s">
        <v>5</v>
      </c>
      <c r="D3" s="303" t="s">
        <v>6</v>
      </c>
      <c r="E3" s="305" t="s">
        <v>7</v>
      </c>
      <c r="F3" s="309"/>
      <c r="G3" s="312" t="s">
        <v>36</v>
      </c>
      <c r="H3" s="291"/>
      <c r="I3" s="292" t="s">
        <v>37</v>
      </c>
      <c r="J3" s="293"/>
      <c r="K3" s="284" t="s">
        <v>76</v>
      </c>
      <c r="L3" s="285"/>
      <c r="M3" s="286" t="s">
        <v>187</v>
      </c>
      <c r="N3" s="287"/>
      <c r="O3" s="307" t="s">
        <v>188</v>
      </c>
      <c r="P3" s="307"/>
      <c r="Q3" s="288" t="s">
        <v>36</v>
      </c>
      <c r="R3" s="289"/>
      <c r="S3" s="245" t="s">
        <v>37</v>
      </c>
      <c r="T3" s="248"/>
      <c r="U3" s="290" t="s">
        <v>36</v>
      </c>
      <c r="V3" s="291"/>
      <c r="W3" s="292" t="s">
        <v>37</v>
      </c>
      <c r="X3" s="293"/>
      <c r="Y3" s="284" t="s">
        <v>224</v>
      </c>
      <c r="Z3" s="285"/>
      <c r="AA3" s="286" t="s">
        <v>225</v>
      </c>
      <c r="AB3" s="287"/>
      <c r="AC3" s="184" t="s">
        <v>228</v>
      </c>
      <c r="AD3" s="185" t="s">
        <v>226</v>
      </c>
      <c r="AE3" s="284" t="s">
        <v>76</v>
      </c>
      <c r="AF3" s="285"/>
      <c r="AG3" s="286" t="s">
        <v>36</v>
      </c>
      <c r="AH3" s="287"/>
      <c r="AI3" s="218" t="s">
        <v>37</v>
      </c>
      <c r="AJ3" s="219" t="s">
        <v>188</v>
      </c>
      <c r="AK3" s="284" t="s">
        <v>76</v>
      </c>
      <c r="AL3" s="285"/>
      <c r="AM3" s="286" t="s">
        <v>36</v>
      </c>
      <c r="AN3" s="287"/>
      <c r="AO3" s="218" t="s">
        <v>258</v>
      </c>
      <c r="AP3" s="219" t="s">
        <v>188</v>
      </c>
      <c r="AQ3" s="284" t="s">
        <v>76</v>
      </c>
      <c r="AR3" s="285"/>
      <c r="AS3" s="286" t="s">
        <v>36</v>
      </c>
      <c r="AT3" s="287"/>
      <c r="AU3" s="218" t="s">
        <v>133</v>
      </c>
      <c r="AV3" s="219" t="s">
        <v>133</v>
      </c>
      <c r="AW3" s="284" t="s">
        <v>76</v>
      </c>
      <c r="AX3" s="285"/>
      <c r="AY3" s="286" t="s">
        <v>36</v>
      </c>
      <c r="AZ3" s="287"/>
      <c r="BA3" s="218" t="s">
        <v>133</v>
      </c>
      <c r="BB3" s="219" t="s">
        <v>133</v>
      </c>
    </row>
    <row r="4" spans="1:54" ht="15.75" thickBot="1" x14ac:dyDescent="0.3">
      <c r="A4" s="298"/>
      <c r="B4" s="300"/>
      <c r="C4" s="302"/>
      <c r="D4" s="304"/>
      <c r="E4" s="306"/>
      <c r="F4" s="310"/>
      <c r="G4" s="22" t="s">
        <v>14</v>
      </c>
      <c r="H4" s="23" t="s">
        <v>15</v>
      </c>
      <c r="I4" s="23" t="s">
        <v>14</v>
      </c>
      <c r="J4" s="24" t="s">
        <v>15</v>
      </c>
      <c r="K4" s="22" t="s">
        <v>14</v>
      </c>
      <c r="L4" s="23" t="s">
        <v>15</v>
      </c>
      <c r="M4" s="34" t="s">
        <v>14</v>
      </c>
      <c r="N4" s="4" t="s">
        <v>15</v>
      </c>
      <c r="O4" s="72" t="s">
        <v>14</v>
      </c>
      <c r="P4" s="59" t="s">
        <v>15</v>
      </c>
      <c r="Q4" s="5" t="s">
        <v>14</v>
      </c>
      <c r="R4" s="44" t="s">
        <v>15</v>
      </c>
      <c r="S4" s="22" t="s">
        <v>14</v>
      </c>
      <c r="T4" s="24" t="s">
        <v>15</v>
      </c>
      <c r="U4" s="72" t="s">
        <v>14</v>
      </c>
      <c r="V4" s="58" t="s">
        <v>15</v>
      </c>
      <c r="W4" s="58" t="s">
        <v>14</v>
      </c>
      <c r="X4" s="59" t="s">
        <v>15</v>
      </c>
      <c r="Y4" s="22" t="s">
        <v>14</v>
      </c>
      <c r="Z4" s="23" t="s">
        <v>15</v>
      </c>
      <c r="AA4" s="23" t="s">
        <v>14</v>
      </c>
      <c r="AB4" s="24" t="s">
        <v>15</v>
      </c>
      <c r="AC4" s="183" t="s">
        <v>14</v>
      </c>
      <c r="AD4" s="183" t="s">
        <v>15</v>
      </c>
      <c r="AE4" s="22" t="s">
        <v>14</v>
      </c>
      <c r="AF4" s="23" t="s">
        <v>15</v>
      </c>
      <c r="AG4" s="23" t="s">
        <v>14</v>
      </c>
      <c r="AH4" s="24" t="s">
        <v>15</v>
      </c>
      <c r="AI4" s="183" t="s">
        <v>14</v>
      </c>
      <c r="AJ4" s="183" t="s">
        <v>15</v>
      </c>
      <c r="AK4" s="22" t="s">
        <v>14</v>
      </c>
      <c r="AL4" s="23" t="s">
        <v>15</v>
      </c>
      <c r="AM4" s="23" t="s">
        <v>14</v>
      </c>
      <c r="AN4" s="24" t="s">
        <v>15</v>
      </c>
      <c r="AO4" s="183" t="s">
        <v>14</v>
      </c>
      <c r="AP4" s="183" t="s">
        <v>15</v>
      </c>
      <c r="AQ4" s="22" t="s">
        <v>14</v>
      </c>
      <c r="AR4" s="23" t="s">
        <v>15</v>
      </c>
      <c r="AS4" s="23" t="s">
        <v>14</v>
      </c>
      <c r="AT4" s="24" t="s">
        <v>15</v>
      </c>
      <c r="AU4" s="183" t="s">
        <v>14</v>
      </c>
      <c r="AV4" s="183" t="s">
        <v>15</v>
      </c>
      <c r="AW4" s="22" t="s">
        <v>14</v>
      </c>
      <c r="AX4" s="23" t="s">
        <v>15</v>
      </c>
      <c r="AY4" s="23" t="s">
        <v>14</v>
      </c>
      <c r="AZ4" s="24" t="s">
        <v>15</v>
      </c>
      <c r="BA4" s="183" t="s">
        <v>14</v>
      </c>
      <c r="BB4" s="183" t="s">
        <v>15</v>
      </c>
    </row>
    <row r="5" spans="1:54" s="113" customFormat="1" x14ac:dyDescent="0.25">
      <c r="A5" s="222">
        <f>RANK(F5,F$5:F$47,0)</f>
        <v>1</v>
      </c>
      <c r="B5" s="223" t="s">
        <v>39</v>
      </c>
      <c r="C5" s="224">
        <v>1996</v>
      </c>
      <c r="D5" s="225" t="s">
        <v>19</v>
      </c>
      <c r="E5" s="226" t="s">
        <v>265</v>
      </c>
      <c r="F5" s="26">
        <f>N5+P5+X5+AJ5+AR5+AT5</f>
        <v>1210</v>
      </c>
      <c r="G5" s="55"/>
      <c r="H5" s="56"/>
      <c r="I5" s="35"/>
      <c r="J5" s="52"/>
      <c r="K5" s="55"/>
      <c r="L5" s="56"/>
      <c r="M5" s="227">
        <v>70.097999999999999</v>
      </c>
      <c r="N5" s="56">
        <f>201+20</f>
        <v>221</v>
      </c>
      <c r="O5" s="228">
        <v>73.094999999999999</v>
      </c>
      <c r="P5" s="52">
        <f>201+20</f>
        <v>221</v>
      </c>
      <c r="Q5" s="81"/>
      <c r="R5" s="56"/>
      <c r="S5" s="35"/>
      <c r="T5" s="63"/>
      <c r="U5" s="55">
        <v>67.745000000000005</v>
      </c>
      <c r="V5" s="56">
        <v>177</v>
      </c>
      <c r="W5" s="35">
        <v>71.900000000000006</v>
      </c>
      <c r="X5" s="52">
        <v>189</v>
      </c>
      <c r="Y5" s="81"/>
      <c r="Z5" s="56"/>
      <c r="AA5" s="35"/>
      <c r="AB5" s="52"/>
      <c r="AC5" s="176"/>
      <c r="AD5" s="52"/>
      <c r="AE5" s="81"/>
      <c r="AF5" s="56"/>
      <c r="AG5" s="35">
        <v>65.265000000000001</v>
      </c>
      <c r="AH5" s="52">
        <f>153+20</f>
        <v>173</v>
      </c>
      <c r="AI5" s="176">
        <v>69.16</v>
      </c>
      <c r="AJ5" s="52">
        <f>162+20</f>
        <v>182</v>
      </c>
      <c r="AK5" s="81"/>
      <c r="AL5" s="56"/>
      <c r="AM5" s="35">
        <v>67.843000000000004</v>
      </c>
      <c r="AN5" s="52">
        <v>178</v>
      </c>
      <c r="AO5" s="176">
        <v>68.915000000000006</v>
      </c>
      <c r="AP5" s="52">
        <v>159</v>
      </c>
      <c r="AQ5" s="81">
        <v>68.234999999999999</v>
      </c>
      <c r="AR5" s="56">
        <f>182+20</f>
        <v>202</v>
      </c>
      <c r="AS5" s="35">
        <v>67.549000000000007</v>
      </c>
      <c r="AT5" s="52">
        <f>175+20</f>
        <v>195</v>
      </c>
      <c r="AU5" s="176">
        <v>68.834999999999994</v>
      </c>
      <c r="AV5" s="52">
        <f>158+20</f>
        <v>178</v>
      </c>
      <c r="AW5" s="81"/>
      <c r="AX5" s="56"/>
      <c r="AY5" s="35"/>
      <c r="AZ5" s="52"/>
      <c r="BA5" s="176"/>
      <c r="BB5" s="52"/>
    </row>
    <row r="6" spans="1:54" s="113" customFormat="1" x14ac:dyDescent="0.25">
      <c r="A6" s="222">
        <f>RANK(F6,F$5:F$47,0)</f>
        <v>2</v>
      </c>
      <c r="B6" s="231" t="s">
        <v>100</v>
      </c>
      <c r="C6" s="232">
        <v>2002</v>
      </c>
      <c r="D6" s="233" t="s">
        <v>19</v>
      </c>
      <c r="E6" s="234" t="s">
        <v>47</v>
      </c>
      <c r="F6" s="26">
        <f>AN6+AP6+AR6+AT6+AV6+AX6+AZ6</f>
        <v>1162</v>
      </c>
      <c r="G6" s="55">
        <v>63.872999999999998</v>
      </c>
      <c r="H6" s="56">
        <v>139</v>
      </c>
      <c r="I6" s="35">
        <v>66.36</v>
      </c>
      <c r="J6" s="52">
        <v>134</v>
      </c>
      <c r="K6" s="55"/>
      <c r="L6" s="56"/>
      <c r="M6" s="227"/>
      <c r="N6" s="56"/>
      <c r="O6" s="228"/>
      <c r="P6" s="52"/>
      <c r="Q6" s="81"/>
      <c r="R6" s="56"/>
      <c r="S6" s="35"/>
      <c r="T6" s="63"/>
      <c r="U6" s="55"/>
      <c r="V6" s="56"/>
      <c r="W6" s="35"/>
      <c r="X6" s="52"/>
      <c r="Y6" s="81"/>
      <c r="Z6" s="56"/>
      <c r="AA6" s="35">
        <v>65.049000000000007</v>
      </c>
      <c r="AB6" s="52">
        <v>150</v>
      </c>
      <c r="AC6" s="176">
        <v>66.430000000000007</v>
      </c>
      <c r="AD6" s="52">
        <v>134</v>
      </c>
      <c r="AE6" s="81"/>
      <c r="AF6" s="56"/>
      <c r="AG6" s="35"/>
      <c r="AH6" s="52"/>
      <c r="AI6" s="176"/>
      <c r="AJ6" s="52"/>
      <c r="AK6" s="81"/>
      <c r="AL6" s="56"/>
      <c r="AM6" s="35">
        <v>67.745000000000005</v>
      </c>
      <c r="AN6" s="52">
        <v>177</v>
      </c>
      <c r="AO6" s="176">
        <v>68.75</v>
      </c>
      <c r="AP6" s="52">
        <v>158</v>
      </c>
      <c r="AQ6" s="81">
        <v>64.265000000000001</v>
      </c>
      <c r="AR6" s="56">
        <f>143+20</f>
        <v>163</v>
      </c>
      <c r="AS6" s="35">
        <v>65.097999999999999</v>
      </c>
      <c r="AT6" s="52">
        <f>151+20</f>
        <v>171</v>
      </c>
      <c r="AU6" s="176">
        <v>66.81</v>
      </c>
      <c r="AV6" s="52">
        <f>138+20</f>
        <v>158</v>
      </c>
      <c r="AW6" s="81">
        <v>66.126999999999995</v>
      </c>
      <c r="AX6" s="56">
        <v>161</v>
      </c>
      <c r="AY6" s="35">
        <v>67.402000000000001</v>
      </c>
      <c r="AZ6" s="52">
        <v>174</v>
      </c>
      <c r="BA6" s="176">
        <v>66.441999999999993</v>
      </c>
      <c r="BB6" s="52">
        <v>134</v>
      </c>
    </row>
    <row r="7" spans="1:54" s="113" customFormat="1" x14ac:dyDescent="0.25">
      <c r="A7" s="222">
        <f>RANK(F7,F$5:F$47,0)</f>
        <v>3</v>
      </c>
      <c r="B7" s="228" t="s">
        <v>62</v>
      </c>
      <c r="C7" s="229">
        <v>1999</v>
      </c>
      <c r="D7" s="229">
        <v>1999</v>
      </c>
      <c r="E7" s="52" t="s">
        <v>231</v>
      </c>
      <c r="F7" s="26">
        <f>AN7+AP7+AR7+AT7+AX7+AZ7</f>
        <v>1084</v>
      </c>
      <c r="G7" s="230"/>
      <c r="H7" s="56"/>
      <c r="I7" s="56"/>
      <c r="J7" s="52"/>
      <c r="K7" s="55"/>
      <c r="L7" s="56"/>
      <c r="M7" s="227"/>
      <c r="N7" s="56"/>
      <c r="O7" s="228"/>
      <c r="P7" s="52"/>
      <c r="Q7" s="81"/>
      <c r="R7" s="56"/>
      <c r="S7" s="35"/>
      <c r="T7" s="63"/>
      <c r="U7" s="230"/>
      <c r="V7" s="56"/>
      <c r="W7" s="56"/>
      <c r="X7" s="52"/>
      <c r="Y7" s="81"/>
      <c r="Z7" s="56"/>
      <c r="AA7" s="35">
        <v>61.814</v>
      </c>
      <c r="AB7" s="52">
        <v>118</v>
      </c>
      <c r="AC7" s="176"/>
      <c r="AD7" s="52"/>
      <c r="AE7" s="81"/>
      <c r="AF7" s="56"/>
      <c r="AG7" s="35"/>
      <c r="AH7" s="52"/>
      <c r="AI7" s="176"/>
      <c r="AJ7" s="52"/>
      <c r="AK7" s="81"/>
      <c r="AL7" s="56"/>
      <c r="AM7" s="35">
        <v>68.234999999999999</v>
      </c>
      <c r="AN7" s="52">
        <v>182</v>
      </c>
      <c r="AO7" s="176">
        <v>69.334999999999994</v>
      </c>
      <c r="AP7" s="52">
        <v>163</v>
      </c>
      <c r="AQ7" s="81">
        <v>66.912000000000006</v>
      </c>
      <c r="AR7" s="56">
        <f>169+20</f>
        <v>189</v>
      </c>
      <c r="AS7" s="35">
        <v>65.195999999999998</v>
      </c>
      <c r="AT7" s="52">
        <f>152+20</f>
        <v>172</v>
      </c>
      <c r="AU7" s="176">
        <v>66.37</v>
      </c>
      <c r="AV7" s="52">
        <f>134+20</f>
        <v>154</v>
      </c>
      <c r="AW7" s="81">
        <v>69.706000000000003</v>
      </c>
      <c r="AX7" s="56">
        <v>197</v>
      </c>
      <c r="AY7" s="35">
        <v>68.137</v>
      </c>
      <c r="AZ7" s="52">
        <v>181</v>
      </c>
      <c r="BA7" s="176">
        <v>68.158000000000001</v>
      </c>
      <c r="BB7" s="52">
        <v>152</v>
      </c>
    </row>
    <row r="8" spans="1:54" s="113" customFormat="1" x14ac:dyDescent="0.25">
      <c r="A8" s="222">
        <f>RANK(F8,F$5:F$47,0)</f>
        <v>4</v>
      </c>
      <c r="B8" s="223" t="s">
        <v>45</v>
      </c>
      <c r="C8" s="224">
        <v>1980</v>
      </c>
      <c r="D8" s="225" t="s">
        <v>27</v>
      </c>
      <c r="E8" s="226" t="s">
        <v>46</v>
      </c>
      <c r="F8" s="26">
        <f>H8+V8+AN8+AP8+AX8+AZ8</f>
        <v>968</v>
      </c>
      <c r="G8" s="55">
        <v>67.058999999999997</v>
      </c>
      <c r="H8" s="56">
        <v>171</v>
      </c>
      <c r="I8" s="35">
        <v>66.665000000000006</v>
      </c>
      <c r="J8" s="52">
        <v>137</v>
      </c>
      <c r="K8" s="55"/>
      <c r="L8" s="56"/>
      <c r="M8" s="227"/>
      <c r="N8" s="56"/>
      <c r="O8" s="228"/>
      <c r="P8" s="52"/>
      <c r="Q8" s="81"/>
      <c r="R8" s="56"/>
      <c r="S8" s="35"/>
      <c r="T8" s="63"/>
      <c r="U8" s="55">
        <v>65.539000000000001</v>
      </c>
      <c r="V8" s="56">
        <v>155</v>
      </c>
      <c r="W8" s="35">
        <v>66.316999999999993</v>
      </c>
      <c r="X8" s="52">
        <v>133</v>
      </c>
      <c r="Y8" s="81"/>
      <c r="Z8" s="56"/>
      <c r="AA8" s="35">
        <v>60.734999999999999</v>
      </c>
      <c r="AB8" s="52">
        <v>107</v>
      </c>
      <c r="AC8" s="176"/>
      <c r="AD8" s="52"/>
      <c r="AE8" s="81"/>
      <c r="AF8" s="56"/>
      <c r="AG8" s="35"/>
      <c r="AH8" s="52"/>
      <c r="AI8" s="176"/>
      <c r="AJ8" s="52"/>
      <c r="AK8" s="81"/>
      <c r="AL8" s="56"/>
      <c r="AM8" s="35">
        <v>66.176000000000002</v>
      </c>
      <c r="AN8" s="52">
        <v>162</v>
      </c>
      <c r="AO8" s="176">
        <v>67.790000000000006</v>
      </c>
      <c r="AP8" s="52">
        <v>148</v>
      </c>
      <c r="AQ8" s="81"/>
      <c r="AR8" s="56"/>
      <c r="AS8" s="35"/>
      <c r="AT8" s="52"/>
      <c r="AU8" s="176"/>
      <c r="AV8" s="52"/>
      <c r="AW8" s="81">
        <v>66.400000000000006</v>
      </c>
      <c r="AX8" s="56">
        <v>164</v>
      </c>
      <c r="AY8" s="35">
        <v>66.8</v>
      </c>
      <c r="AZ8" s="52">
        <v>168</v>
      </c>
      <c r="BA8" s="176">
        <v>66.099999999999994</v>
      </c>
      <c r="BB8" s="52">
        <v>131</v>
      </c>
    </row>
    <row r="9" spans="1:54" s="113" customFormat="1" x14ac:dyDescent="0.25">
      <c r="A9" s="222">
        <f>RANK(F9,F$5:F$47,0)</f>
        <v>5</v>
      </c>
      <c r="B9" s="223" t="s">
        <v>45</v>
      </c>
      <c r="C9" s="224">
        <v>1980</v>
      </c>
      <c r="D9" s="225" t="s">
        <v>19</v>
      </c>
      <c r="E9" s="226" t="s">
        <v>48</v>
      </c>
      <c r="F9" s="26">
        <f>H9+V9+AB9+AN9+AR9+AV9</f>
        <v>962</v>
      </c>
      <c r="G9" s="55">
        <v>65.686000000000007</v>
      </c>
      <c r="H9" s="56">
        <v>157</v>
      </c>
      <c r="I9" s="35"/>
      <c r="J9" s="52"/>
      <c r="K9" s="55"/>
      <c r="L9" s="56"/>
      <c r="M9" s="227"/>
      <c r="N9" s="56"/>
      <c r="O9" s="228"/>
      <c r="P9" s="52"/>
      <c r="Q9" s="81"/>
      <c r="R9" s="56"/>
      <c r="S9" s="35"/>
      <c r="T9" s="63"/>
      <c r="U9" s="55">
        <v>66.323999999999998</v>
      </c>
      <c r="V9" s="56">
        <v>163</v>
      </c>
      <c r="W9" s="35">
        <v>67.433000000000007</v>
      </c>
      <c r="X9" s="52">
        <v>144</v>
      </c>
      <c r="Y9" s="81"/>
      <c r="Z9" s="56"/>
      <c r="AA9" s="35">
        <v>64.902000000000001</v>
      </c>
      <c r="AB9" s="52">
        <v>149</v>
      </c>
      <c r="AC9" s="176">
        <v>65.12</v>
      </c>
      <c r="AD9" s="52">
        <v>121</v>
      </c>
      <c r="AE9" s="81"/>
      <c r="AF9" s="56"/>
      <c r="AG9" s="35"/>
      <c r="AH9" s="52"/>
      <c r="AI9" s="176"/>
      <c r="AJ9" s="52"/>
      <c r="AK9" s="81"/>
      <c r="AL9" s="56"/>
      <c r="AM9" s="35">
        <v>65.489999999999995</v>
      </c>
      <c r="AN9" s="52">
        <v>155</v>
      </c>
      <c r="AO9" s="176">
        <v>66.75</v>
      </c>
      <c r="AP9" s="52">
        <v>138</v>
      </c>
      <c r="AQ9" s="81">
        <v>64.754999999999995</v>
      </c>
      <c r="AR9" s="56">
        <f>148+20</f>
        <v>168</v>
      </c>
      <c r="AS9" s="35">
        <v>63.430999999999997</v>
      </c>
      <c r="AT9" s="52">
        <f>134+20</f>
        <v>154</v>
      </c>
      <c r="AU9" s="176">
        <v>68.045000000000002</v>
      </c>
      <c r="AV9" s="52">
        <f>150+20</f>
        <v>170</v>
      </c>
      <c r="AW9" s="81"/>
      <c r="AX9" s="56"/>
      <c r="AY9" s="35"/>
      <c r="AZ9" s="52"/>
      <c r="BA9" s="176"/>
      <c r="BB9" s="52"/>
    </row>
    <row r="10" spans="1:54" s="113" customFormat="1" ht="15.75" customHeight="1" x14ac:dyDescent="0.25">
      <c r="A10" s="222">
        <f>RANK(F10,F$5:F$47,0)</f>
        <v>6</v>
      </c>
      <c r="B10" s="223" t="s">
        <v>89</v>
      </c>
      <c r="C10" s="224">
        <v>2003</v>
      </c>
      <c r="D10" s="225" t="s">
        <v>27</v>
      </c>
      <c r="E10" s="226" t="s">
        <v>84</v>
      </c>
      <c r="F10" s="26">
        <f>V10+AB10+AD10+AR10+AT10+AV10</f>
        <v>955</v>
      </c>
      <c r="G10" s="230"/>
      <c r="H10" s="56"/>
      <c r="I10" s="35"/>
      <c r="J10" s="52"/>
      <c r="K10" s="55"/>
      <c r="L10" s="56"/>
      <c r="M10" s="227"/>
      <c r="N10" s="56"/>
      <c r="O10" s="228"/>
      <c r="P10" s="52"/>
      <c r="Q10" s="81"/>
      <c r="R10" s="56"/>
      <c r="S10" s="35"/>
      <c r="T10" s="63"/>
      <c r="U10" s="230">
        <v>64.7</v>
      </c>
      <c r="V10" s="56">
        <v>147</v>
      </c>
      <c r="W10" s="35"/>
      <c r="X10" s="52"/>
      <c r="Y10" s="81"/>
      <c r="Z10" s="56"/>
      <c r="AA10" s="35">
        <v>65.900000000000006</v>
      </c>
      <c r="AB10" s="52">
        <v>159</v>
      </c>
      <c r="AC10" s="176">
        <v>68.495000000000005</v>
      </c>
      <c r="AD10" s="52">
        <v>155</v>
      </c>
      <c r="AE10" s="81"/>
      <c r="AF10" s="56"/>
      <c r="AG10" s="35"/>
      <c r="AH10" s="52"/>
      <c r="AI10" s="176"/>
      <c r="AJ10" s="52"/>
      <c r="AK10" s="81"/>
      <c r="AL10" s="56"/>
      <c r="AM10" s="35"/>
      <c r="AN10" s="52"/>
      <c r="AO10" s="176"/>
      <c r="AP10" s="52"/>
      <c r="AQ10" s="81">
        <v>65.734999999999999</v>
      </c>
      <c r="AR10" s="56">
        <f>157+20</f>
        <v>177</v>
      </c>
      <c r="AS10" s="35">
        <v>64.510000000000005</v>
      </c>
      <c r="AT10" s="52">
        <f>145+20</f>
        <v>165</v>
      </c>
      <c r="AU10" s="176">
        <v>66.22</v>
      </c>
      <c r="AV10" s="52">
        <f>132+20</f>
        <v>152</v>
      </c>
      <c r="AW10" s="81"/>
      <c r="AX10" s="56"/>
      <c r="AY10" s="35"/>
      <c r="AZ10" s="52"/>
      <c r="BA10" s="176"/>
      <c r="BB10" s="52"/>
    </row>
    <row r="11" spans="1:54" s="113" customFormat="1" ht="15" customHeight="1" x14ac:dyDescent="0.25">
      <c r="A11" s="222">
        <f>RANK(F11,F$5:F$47,0)</f>
        <v>7</v>
      </c>
      <c r="B11" s="228" t="s">
        <v>18</v>
      </c>
      <c r="C11" s="229">
        <v>1990</v>
      </c>
      <c r="D11" s="229" t="s">
        <v>19</v>
      </c>
      <c r="E11" s="52" t="s">
        <v>266</v>
      </c>
      <c r="F11" s="26">
        <f>R11+T11+AR11+AT11+AV11</f>
        <v>915</v>
      </c>
      <c r="G11" s="230"/>
      <c r="H11" s="56"/>
      <c r="I11" s="56"/>
      <c r="J11" s="52"/>
      <c r="K11" s="55"/>
      <c r="L11" s="56"/>
      <c r="M11" s="227"/>
      <c r="N11" s="56"/>
      <c r="O11" s="228"/>
      <c r="P11" s="52"/>
      <c r="Q11" s="81">
        <v>64.114999999999995</v>
      </c>
      <c r="R11" s="56">
        <f>141+20</f>
        <v>161</v>
      </c>
      <c r="S11" s="35">
        <v>68.594999999999999</v>
      </c>
      <c r="T11" s="63">
        <f>156+20</f>
        <v>176</v>
      </c>
      <c r="U11" s="230"/>
      <c r="V11" s="56"/>
      <c r="W11" s="56"/>
      <c r="X11" s="52"/>
      <c r="Y11" s="81"/>
      <c r="Z11" s="56"/>
      <c r="AA11" s="35"/>
      <c r="AB11" s="52"/>
      <c r="AC11" s="176"/>
      <c r="AD11" s="52"/>
      <c r="AE11" s="81"/>
      <c r="AF11" s="56"/>
      <c r="AG11" s="35"/>
      <c r="AH11" s="52"/>
      <c r="AI11" s="176"/>
      <c r="AJ11" s="52"/>
      <c r="AK11" s="81"/>
      <c r="AL11" s="56"/>
      <c r="AM11" s="35"/>
      <c r="AN11" s="52"/>
      <c r="AO11" s="176"/>
      <c r="AP11" s="52"/>
      <c r="AQ11" s="81">
        <v>66.667000000000002</v>
      </c>
      <c r="AR11" s="56">
        <f>167+20</f>
        <v>187</v>
      </c>
      <c r="AS11" s="35">
        <v>66.765000000000001</v>
      </c>
      <c r="AT11" s="52">
        <f>168+20</f>
        <v>188</v>
      </c>
      <c r="AU11" s="176">
        <v>71.33</v>
      </c>
      <c r="AV11" s="52">
        <f>183+20</f>
        <v>203</v>
      </c>
      <c r="AW11" s="81"/>
      <c r="AX11" s="56"/>
      <c r="AY11" s="35"/>
      <c r="AZ11" s="52"/>
      <c r="BA11" s="176"/>
      <c r="BB11" s="52"/>
    </row>
    <row r="12" spans="1:54" s="113" customFormat="1" x14ac:dyDescent="0.25">
      <c r="A12" s="222">
        <f>RANK(F12,F$5:F$47,0)</f>
        <v>8</v>
      </c>
      <c r="B12" s="223" t="s">
        <v>103</v>
      </c>
      <c r="C12" s="224">
        <v>2002</v>
      </c>
      <c r="D12" s="225" t="s">
        <v>19</v>
      </c>
      <c r="E12" s="226" t="s">
        <v>182</v>
      </c>
      <c r="F12" s="26">
        <f>AN12+AR12+AT12+AX12+AZ12+BB12</f>
        <v>784</v>
      </c>
      <c r="G12" s="230"/>
      <c r="H12" s="56"/>
      <c r="I12" s="56"/>
      <c r="J12" s="52"/>
      <c r="K12" s="55"/>
      <c r="L12" s="56"/>
      <c r="M12" s="227"/>
      <c r="N12" s="56"/>
      <c r="O12" s="228"/>
      <c r="P12" s="52"/>
      <c r="Q12" s="81"/>
      <c r="R12" s="56"/>
      <c r="S12" s="35"/>
      <c r="T12" s="63"/>
      <c r="U12" s="230"/>
      <c r="V12" s="56"/>
      <c r="W12" s="56"/>
      <c r="X12" s="52"/>
      <c r="Y12" s="81"/>
      <c r="Z12" s="56"/>
      <c r="AA12" s="35">
        <v>61.274999999999999</v>
      </c>
      <c r="AB12" s="52">
        <v>112</v>
      </c>
      <c r="AC12" s="176"/>
      <c r="AD12" s="52"/>
      <c r="AE12" s="81"/>
      <c r="AF12" s="56"/>
      <c r="AG12" s="35"/>
      <c r="AH12" s="52"/>
      <c r="AI12" s="176"/>
      <c r="AJ12" s="52"/>
      <c r="AK12" s="81"/>
      <c r="AL12" s="56"/>
      <c r="AM12" s="35">
        <v>61.421999999999997</v>
      </c>
      <c r="AN12" s="52">
        <v>114</v>
      </c>
      <c r="AO12" s="176"/>
      <c r="AP12" s="52"/>
      <c r="AQ12" s="81">
        <v>60.588000000000001</v>
      </c>
      <c r="AR12" s="56">
        <f>106+20</f>
        <v>126</v>
      </c>
      <c r="AS12" s="35">
        <v>59.9</v>
      </c>
      <c r="AT12" s="52">
        <f>99+20</f>
        <v>119</v>
      </c>
      <c r="AU12" s="176">
        <v>0</v>
      </c>
      <c r="AV12" s="52">
        <v>0</v>
      </c>
      <c r="AW12" s="81">
        <v>65.587999999999994</v>
      </c>
      <c r="AX12" s="56">
        <v>156</v>
      </c>
      <c r="AY12" s="35">
        <v>64.656999999999996</v>
      </c>
      <c r="AZ12" s="52">
        <v>147</v>
      </c>
      <c r="BA12" s="176">
        <v>65.191999999999993</v>
      </c>
      <c r="BB12" s="52">
        <v>122</v>
      </c>
    </row>
    <row r="13" spans="1:54" s="113" customFormat="1" x14ac:dyDescent="0.25">
      <c r="A13" s="222">
        <f>RANK(F13,F$5:F$47,0)</f>
        <v>9</v>
      </c>
      <c r="B13" s="228" t="s">
        <v>11</v>
      </c>
      <c r="C13" s="229">
        <v>1984</v>
      </c>
      <c r="D13" s="229" t="s">
        <v>12</v>
      </c>
      <c r="E13" s="235" t="s">
        <v>167</v>
      </c>
      <c r="F13" s="26">
        <f>V13+X13+AB13+AD13</f>
        <v>734</v>
      </c>
      <c r="G13" s="55"/>
      <c r="H13" s="56"/>
      <c r="I13" s="35"/>
      <c r="J13" s="52"/>
      <c r="K13" s="55"/>
      <c r="L13" s="56"/>
      <c r="M13" s="227"/>
      <c r="N13" s="56"/>
      <c r="O13" s="228"/>
      <c r="P13" s="52"/>
      <c r="Q13" s="81"/>
      <c r="R13" s="56"/>
      <c r="S13" s="35"/>
      <c r="T13" s="63"/>
      <c r="U13" s="55">
        <v>70.049000000000007</v>
      </c>
      <c r="V13" s="56">
        <v>200</v>
      </c>
      <c r="W13" s="35">
        <v>72.375</v>
      </c>
      <c r="X13" s="52">
        <v>194</v>
      </c>
      <c r="Y13" s="81"/>
      <c r="Z13" s="56"/>
      <c r="AA13" s="35">
        <v>66.126999999999995</v>
      </c>
      <c r="AB13" s="52">
        <v>161</v>
      </c>
      <c r="AC13" s="176">
        <v>70.900000000000006</v>
      </c>
      <c r="AD13" s="52">
        <v>179</v>
      </c>
      <c r="AE13" s="81"/>
      <c r="AF13" s="56"/>
      <c r="AG13" s="35"/>
      <c r="AH13" s="52"/>
      <c r="AI13" s="176"/>
      <c r="AJ13" s="52"/>
      <c r="AK13" s="81"/>
      <c r="AL13" s="56"/>
      <c r="AM13" s="35"/>
      <c r="AN13" s="52"/>
      <c r="AO13" s="176"/>
      <c r="AP13" s="52"/>
      <c r="AQ13" s="81"/>
      <c r="AR13" s="56"/>
      <c r="AS13" s="35"/>
      <c r="AT13" s="52"/>
      <c r="AU13" s="176"/>
      <c r="AV13" s="52"/>
      <c r="AW13" s="81"/>
      <c r="AX13" s="56"/>
      <c r="AY13" s="35"/>
      <c r="AZ13" s="52"/>
      <c r="BA13" s="176"/>
      <c r="BB13" s="52"/>
    </row>
    <row r="14" spans="1:54" s="113" customFormat="1" x14ac:dyDescent="0.25">
      <c r="A14" s="222">
        <f>RANK(F14,F$5:F$47,0)</f>
        <v>10</v>
      </c>
      <c r="B14" s="223" t="s">
        <v>28</v>
      </c>
      <c r="C14" s="224">
        <v>1980</v>
      </c>
      <c r="D14" s="225" t="s">
        <v>19</v>
      </c>
      <c r="E14" s="226" t="s">
        <v>51</v>
      </c>
      <c r="F14" s="26">
        <f>H14+J14+Z14+AB14+AD14</f>
        <v>614</v>
      </c>
      <c r="G14" s="55">
        <v>65.882000000000005</v>
      </c>
      <c r="H14" s="56">
        <v>159</v>
      </c>
      <c r="I14" s="35">
        <v>67.334999999999994</v>
      </c>
      <c r="J14" s="52">
        <v>144</v>
      </c>
      <c r="K14" s="55"/>
      <c r="L14" s="56"/>
      <c r="M14" s="227"/>
      <c r="N14" s="56"/>
      <c r="O14" s="228"/>
      <c r="P14" s="52"/>
      <c r="Q14" s="81"/>
      <c r="R14" s="56"/>
      <c r="S14" s="35"/>
      <c r="T14" s="63"/>
      <c r="U14" s="55"/>
      <c r="V14" s="56"/>
      <c r="W14" s="35"/>
      <c r="X14" s="52"/>
      <c r="Y14" s="81"/>
      <c r="Z14" s="56"/>
      <c r="AA14" s="35">
        <v>65.587999999999994</v>
      </c>
      <c r="AB14" s="52">
        <v>156</v>
      </c>
      <c r="AC14" s="176">
        <v>68.454999999999998</v>
      </c>
      <c r="AD14" s="52">
        <v>155</v>
      </c>
      <c r="AE14" s="81"/>
      <c r="AF14" s="56"/>
      <c r="AG14" s="35"/>
      <c r="AH14" s="52"/>
      <c r="AI14" s="176"/>
      <c r="AJ14" s="52"/>
      <c r="AK14" s="81"/>
      <c r="AL14" s="56"/>
      <c r="AM14" s="35"/>
      <c r="AN14" s="52"/>
      <c r="AO14" s="176"/>
      <c r="AP14" s="52"/>
      <c r="AQ14" s="81"/>
      <c r="AR14" s="56"/>
      <c r="AS14" s="35"/>
      <c r="AT14" s="52"/>
      <c r="AU14" s="176"/>
      <c r="AV14" s="52"/>
      <c r="AW14" s="81"/>
      <c r="AX14" s="56"/>
      <c r="AY14" s="35"/>
      <c r="AZ14" s="52"/>
      <c r="BA14" s="176"/>
      <c r="BB14" s="52"/>
    </row>
    <row r="15" spans="1:54" x14ac:dyDescent="0.25">
      <c r="A15" s="95">
        <f>RANK(F15,F$5:F$47,0)</f>
        <v>11</v>
      </c>
      <c r="B15" s="93" t="s">
        <v>89</v>
      </c>
      <c r="C15" s="19">
        <v>2004</v>
      </c>
      <c r="D15" s="36" t="s">
        <v>27</v>
      </c>
      <c r="E15" s="69" t="s">
        <v>236</v>
      </c>
      <c r="F15" s="26">
        <f>AB15+AX15+AZ15+BB15</f>
        <v>576</v>
      </c>
      <c r="G15" s="55"/>
      <c r="H15" s="56"/>
      <c r="I15" s="35"/>
      <c r="J15" s="52"/>
      <c r="K15" s="27"/>
      <c r="L15" s="4"/>
      <c r="M15" s="125"/>
      <c r="N15" s="4"/>
      <c r="O15" s="7"/>
      <c r="P15" s="21"/>
      <c r="Q15" s="38"/>
      <c r="R15" s="4"/>
      <c r="S15" s="30"/>
      <c r="T15" s="6"/>
      <c r="U15" s="55"/>
      <c r="V15" s="56"/>
      <c r="W15" s="35"/>
      <c r="X15" s="52"/>
      <c r="Y15" s="81"/>
      <c r="Z15" s="56"/>
      <c r="AA15" s="35">
        <v>59.314</v>
      </c>
      <c r="AB15" s="52">
        <v>93</v>
      </c>
      <c r="AC15" s="176"/>
      <c r="AD15" s="52"/>
      <c r="AE15" s="81"/>
      <c r="AF15" s="56"/>
      <c r="AG15" s="35"/>
      <c r="AH15" s="52"/>
      <c r="AI15" s="176"/>
      <c r="AJ15" s="52"/>
      <c r="AK15" s="81"/>
      <c r="AL15" s="56"/>
      <c r="AM15" s="35"/>
      <c r="AN15" s="52"/>
      <c r="AO15" s="176"/>
      <c r="AP15" s="52"/>
      <c r="AQ15" s="81"/>
      <c r="AR15" s="56"/>
      <c r="AS15" s="35"/>
      <c r="AT15" s="52"/>
      <c r="AU15" s="176"/>
      <c r="AV15" s="52"/>
      <c r="AW15" s="81">
        <v>66.323999999999998</v>
      </c>
      <c r="AX15" s="56">
        <v>163</v>
      </c>
      <c r="AY15" s="35">
        <v>67.5</v>
      </c>
      <c r="AZ15" s="52">
        <v>175</v>
      </c>
      <c r="BA15" s="176">
        <v>67.492000000000004</v>
      </c>
      <c r="BB15" s="52">
        <v>145</v>
      </c>
    </row>
    <row r="16" spans="1:54" x14ac:dyDescent="0.25">
      <c r="A16" s="95">
        <f>RANK(F16,F$5:F$47,0)</f>
        <v>12</v>
      </c>
      <c r="B16" s="93" t="s">
        <v>66</v>
      </c>
      <c r="C16" s="19">
        <v>2000</v>
      </c>
      <c r="D16" s="19" t="s">
        <v>19</v>
      </c>
      <c r="E16" s="69" t="s">
        <v>75</v>
      </c>
      <c r="F16" s="26">
        <f>H16+Z16+AB16+AD16</f>
        <v>426</v>
      </c>
      <c r="G16" s="55">
        <v>64.754999999999995</v>
      </c>
      <c r="H16" s="56">
        <v>148</v>
      </c>
      <c r="I16" s="35"/>
      <c r="J16" s="52"/>
      <c r="K16" s="27"/>
      <c r="L16" s="4"/>
      <c r="M16" s="125"/>
      <c r="N16" s="4"/>
      <c r="O16" s="7"/>
      <c r="P16" s="21"/>
      <c r="Q16" s="38"/>
      <c r="R16" s="4"/>
      <c r="S16" s="30"/>
      <c r="T16" s="6"/>
      <c r="U16" s="55"/>
      <c r="V16" s="56"/>
      <c r="W16" s="35"/>
      <c r="X16" s="52"/>
      <c r="Y16" s="81"/>
      <c r="Z16" s="56"/>
      <c r="AA16" s="35">
        <v>63.676000000000002</v>
      </c>
      <c r="AB16" s="52">
        <v>137</v>
      </c>
      <c r="AC16" s="176">
        <v>67.05</v>
      </c>
      <c r="AD16" s="52">
        <v>141</v>
      </c>
      <c r="AE16" s="81"/>
      <c r="AF16" s="56"/>
      <c r="AG16" s="35"/>
      <c r="AH16" s="52"/>
      <c r="AI16" s="176"/>
      <c r="AJ16" s="52"/>
      <c r="AK16" s="81"/>
      <c r="AL16" s="56"/>
      <c r="AM16" s="35"/>
      <c r="AN16" s="52"/>
      <c r="AO16" s="176"/>
      <c r="AP16" s="52"/>
      <c r="AQ16" s="81"/>
      <c r="AR16" s="56"/>
      <c r="AS16" s="35"/>
      <c r="AT16" s="52"/>
      <c r="AU16" s="176"/>
      <c r="AV16" s="52"/>
      <c r="AW16" s="81"/>
      <c r="AX16" s="56"/>
      <c r="AY16" s="35"/>
      <c r="AZ16" s="52"/>
      <c r="BA16" s="176"/>
      <c r="BB16" s="52"/>
    </row>
    <row r="17" spans="1:54" s="221" customFormat="1" x14ac:dyDescent="0.25">
      <c r="A17" s="95">
        <f>RANK(F17,F$5:F$47,0)</f>
        <v>13</v>
      </c>
      <c r="B17" s="7" t="s">
        <v>74</v>
      </c>
      <c r="C17" s="241">
        <v>1994</v>
      </c>
      <c r="D17" s="241" t="s">
        <v>19</v>
      </c>
      <c r="E17" s="21" t="s">
        <v>180</v>
      </c>
      <c r="F17" s="26">
        <f>H17+J17</f>
        <v>305</v>
      </c>
      <c r="G17" s="42">
        <v>65.734999999999999</v>
      </c>
      <c r="H17" s="4">
        <v>157</v>
      </c>
      <c r="I17" s="4">
        <v>67.805000000000007</v>
      </c>
      <c r="J17" s="21">
        <v>148</v>
      </c>
      <c r="K17" s="27"/>
      <c r="L17" s="4"/>
      <c r="M17" s="125"/>
      <c r="N17" s="4"/>
      <c r="O17" s="7"/>
      <c r="P17" s="21"/>
      <c r="Q17" s="38"/>
      <c r="R17" s="4"/>
      <c r="S17" s="30"/>
      <c r="T17" s="6"/>
      <c r="U17" s="42"/>
      <c r="V17" s="4"/>
      <c r="W17" s="4"/>
      <c r="X17" s="21"/>
      <c r="Y17" s="38"/>
      <c r="Z17" s="4"/>
      <c r="AA17" s="30"/>
      <c r="AB17" s="21"/>
      <c r="AC17" s="177"/>
      <c r="AD17" s="21"/>
      <c r="AE17" s="38"/>
      <c r="AF17" s="4"/>
      <c r="AG17" s="30"/>
      <c r="AH17" s="21"/>
      <c r="AI17" s="177"/>
      <c r="AJ17" s="21"/>
      <c r="AK17" s="38"/>
      <c r="AL17" s="4"/>
      <c r="AM17" s="30"/>
      <c r="AN17" s="21"/>
      <c r="AO17" s="177"/>
      <c r="AP17" s="21"/>
      <c r="AQ17" s="38"/>
      <c r="AR17" s="4"/>
      <c r="AS17" s="30"/>
      <c r="AT17" s="21"/>
      <c r="AU17" s="177"/>
      <c r="AV17" s="21"/>
      <c r="AW17" s="38"/>
      <c r="AX17" s="4"/>
      <c r="AY17" s="30"/>
      <c r="AZ17" s="21"/>
      <c r="BA17" s="177"/>
      <c r="BB17" s="21"/>
    </row>
    <row r="18" spans="1:54" x14ac:dyDescent="0.25">
      <c r="A18" s="95">
        <f>RANK(F18,F$5:F$47,0)</f>
        <v>14</v>
      </c>
      <c r="B18" s="93" t="s">
        <v>62</v>
      </c>
      <c r="C18" s="19">
        <v>1999</v>
      </c>
      <c r="D18" s="36" t="s">
        <v>19</v>
      </c>
      <c r="E18" s="69" t="s">
        <v>178</v>
      </c>
      <c r="F18" s="26">
        <f>H18+AB18</f>
        <v>294</v>
      </c>
      <c r="G18" s="27">
        <v>67.058999999999997</v>
      </c>
      <c r="H18" s="4">
        <v>171</v>
      </c>
      <c r="I18" s="30"/>
      <c r="J18" s="21"/>
      <c r="K18" s="27"/>
      <c r="L18" s="4"/>
      <c r="M18" s="125"/>
      <c r="N18" s="4"/>
      <c r="O18" s="7"/>
      <c r="P18" s="21"/>
      <c r="Q18" s="38"/>
      <c r="R18" s="4"/>
      <c r="S18" s="30"/>
      <c r="T18" s="6"/>
      <c r="U18" s="27"/>
      <c r="V18" s="4"/>
      <c r="W18" s="30"/>
      <c r="X18" s="21"/>
      <c r="Y18" s="38"/>
      <c r="Z18" s="4"/>
      <c r="AA18" s="30">
        <v>62.255000000000003</v>
      </c>
      <c r="AB18" s="21">
        <v>123</v>
      </c>
      <c r="AC18" s="177"/>
      <c r="AD18" s="21"/>
      <c r="AE18" s="38"/>
      <c r="AF18" s="4"/>
      <c r="AG18" s="30"/>
      <c r="AH18" s="21"/>
      <c r="AI18" s="177"/>
      <c r="AJ18" s="21"/>
      <c r="AK18" s="38"/>
      <c r="AL18" s="4"/>
      <c r="AM18" s="30"/>
      <c r="AN18" s="21"/>
      <c r="AO18" s="177"/>
      <c r="AP18" s="21"/>
      <c r="AQ18" s="38"/>
      <c r="AR18" s="4"/>
      <c r="AS18" s="30"/>
      <c r="AT18" s="21"/>
      <c r="AU18" s="177"/>
      <c r="AV18" s="21"/>
      <c r="AW18" s="38"/>
      <c r="AX18" s="4"/>
      <c r="AY18" s="30"/>
      <c r="AZ18" s="21"/>
      <c r="BA18" s="177"/>
      <c r="BB18" s="21"/>
    </row>
    <row r="19" spans="1:54" ht="30" x14ac:dyDescent="0.25">
      <c r="A19" s="95">
        <f>RANK(F19,F$5:F$47,0)</f>
        <v>15</v>
      </c>
      <c r="B19" s="136" t="s">
        <v>211</v>
      </c>
      <c r="C19" s="126">
        <v>1997</v>
      </c>
      <c r="D19" s="127" t="s">
        <v>27</v>
      </c>
      <c r="E19" s="359" t="s">
        <v>212</v>
      </c>
      <c r="F19" s="205">
        <f>V19+X19</f>
        <v>198</v>
      </c>
      <c r="G19" s="129"/>
      <c r="H19" s="108"/>
      <c r="I19" s="130"/>
      <c r="J19" s="110"/>
      <c r="K19" s="131"/>
      <c r="L19" s="58"/>
      <c r="M19" s="181"/>
      <c r="N19" s="4"/>
      <c r="O19" s="72"/>
      <c r="P19" s="59"/>
      <c r="Q19" s="133"/>
      <c r="R19" s="58"/>
      <c r="S19" s="132"/>
      <c r="T19" s="64"/>
      <c r="U19" s="55">
        <v>59.569000000000003</v>
      </c>
      <c r="V19" s="56">
        <v>96</v>
      </c>
      <c r="W19" s="35">
        <v>63.167000000000002</v>
      </c>
      <c r="X19" s="52">
        <v>102</v>
      </c>
      <c r="Y19" s="186"/>
      <c r="Z19" s="108"/>
      <c r="AA19" s="130"/>
      <c r="AB19" s="110"/>
      <c r="AC19" s="178"/>
      <c r="AD19" s="110"/>
      <c r="AE19" s="186"/>
      <c r="AF19" s="108"/>
      <c r="AG19" s="130"/>
      <c r="AH19" s="110"/>
      <c r="AI19" s="178"/>
      <c r="AJ19" s="110"/>
      <c r="AK19" s="186"/>
      <c r="AL19" s="108"/>
      <c r="AM19" s="130"/>
      <c r="AN19" s="110"/>
      <c r="AO19" s="178"/>
      <c r="AP19" s="110"/>
      <c r="AQ19" s="186"/>
      <c r="AR19" s="108"/>
      <c r="AS19" s="130"/>
      <c r="AT19" s="110"/>
      <c r="AU19" s="178"/>
      <c r="AV19" s="110"/>
      <c r="AW19" s="186"/>
      <c r="AX19" s="108"/>
      <c r="AY19" s="130"/>
      <c r="AZ19" s="110"/>
      <c r="BA19" s="178"/>
      <c r="BB19" s="110"/>
    </row>
    <row r="20" spans="1:54" ht="14.25" customHeight="1" x14ac:dyDescent="0.25">
      <c r="A20" s="95">
        <f>RANK(F20,F$5:F$47,0)</f>
        <v>16</v>
      </c>
      <c r="B20" s="136" t="s">
        <v>49</v>
      </c>
      <c r="C20" s="126">
        <v>1951</v>
      </c>
      <c r="D20" s="127" t="s">
        <v>19</v>
      </c>
      <c r="E20" s="191" t="s">
        <v>50</v>
      </c>
      <c r="F20" s="205">
        <f>H20</f>
        <v>154</v>
      </c>
      <c r="G20" s="131">
        <v>65.391999999999996</v>
      </c>
      <c r="H20" s="58">
        <v>154</v>
      </c>
      <c r="I20" s="132"/>
      <c r="J20" s="59"/>
      <c r="K20" s="131"/>
      <c r="L20" s="58"/>
      <c r="M20" s="181"/>
      <c r="N20" s="4"/>
      <c r="O20" s="72"/>
      <c r="P20" s="59"/>
      <c r="Q20" s="133"/>
      <c r="R20" s="58"/>
      <c r="S20" s="132"/>
      <c r="T20" s="64"/>
      <c r="U20" s="27"/>
      <c r="V20" s="4"/>
      <c r="W20" s="30"/>
      <c r="X20" s="21"/>
      <c r="Y20" s="133"/>
      <c r="Z20" s="58"/>
      <c r="AA20" s="132"/>
      <c r="AB20" s="59"/>
      <c r="AC20" s="179"/>
      <c r="AD20" s="59"/>
      <c r="AE20" s="133"/>
      <c r="AF20" s="58"/>
      <c r="AG20" s="132"/>
      <c r="AH20" s="59"/>
      <c r="AI20" s="179"/>
      <c r="AJ20" s="59"/>
      <c r="AK20" s="133"/>
      <c r="AL20" s="58"/>
      <c r="AM20" s="132"/>
      <c r="AN20" s="59"/>
      <c r="AO20" s="179"/>
      <c r="AP20" s="59"/>
      <c r="AQ20" s="133"/>
      <c r="AR20" s="58"/>
      <c r="AS20" s="132"/>
      <c r="AT20" s="59"/>
      <c r="AU20" s="179"/>
      <c r="AV20" s="59"/>
      <c r="AW20" s="133"/>
      <c r="AX20" s="58"/>
      <c r="AY20" s="132"/>
      <c r="AZ20" s="59"/>
      <c r="BA20" s="179"/>
      <c r="BB20" s="59"/>
    </row>
    <row r="21" spans="1:54" x14ac:dyDescent="0.25">
      <c r="A21" s="95">
        <f>RANK(F21,F$5:F$47,0)</f>
        <v>17</v>
      </c>
      <c r="B21" s="136" t="s">
        <v>66</v>
      </c>
      <c r="C21" s="126">
        <v>2000</v>
      </c>
      <c r="D21" s="126" t="s">
        <v>19</v>
      </c>
      <c r="E21" s="128" t="s">
        <v>234</v>
      </c>
      <c r="F21" s="205">
        <f>Z21+AB21</f>
        <v>140</v>
      </c>
      <c r="G21" s="129"/>
      <c r="H21" s="108"/>
      <c r="I21" s="130"/>
      <c r="J21" s="110"/>
      <c r="K21" s="131"/>
      <c r="L21" s="58"/>
      <c r="M21" s="181"/>
      <c r="N21" s="4"/>
      <c r="O21" s="72"/>
      <c r="P21" s="59"/>
      <c r="Q21" s="133"/>
      <c r="R21" s="58"/>
      <c r="S21" s="132"/>
      <c r="T21" s="64"/>
      <c r="U21" s="55"/>
      <c r="V21" s="56"/>
      <c r="W21" s="35"/>
      <c r="X21" s="52"/>
      <c r="Y21" s="186"/>
      <c r="Z21" s="108"/>
      <c r="AA21" s="130">
        <v>64.02</v>
      </c>
      <c r="AB21" s="110">
        <v>140</v>
      </c>
      <c r="AC21" s="178"/>
      <c r="AD21" s="110"/>
      <c r="AE21" s="186"/>
      <c r="AF21" s="108"/>
      <c r="AG21" s="130"/>
      <c r="AH21" s="110"/>
      <c r="AI21" s="178"/>
      <c r="AJ21" s="110"/>
      <c r="AK21" s="186"/>
      <c r="AL21" s="108"/>
      <c r="AM21" s="130"/>
      <c r="AN21" s="110"/>
      <c r="AO21" s="178"/>
      <c r="AP21" s="110"/>
      <c r="AQ21" s="186"/>
      <c r="AR21" s="108"/>
      <c r="AS21" s="130"/>
      <c r="AT21" s="110"/>
      <c r="AU21" s="178"/>
      <c r="AV21" s="110"/>
      <c r="AW21" s="186"/>
      <c r="AX21" s="108"/>
      <c r="AY21" s="130"/>
      <c r="AZ21" s="110"/>
      <c r="BA21" s="178"/>
      <c r="BB21" s="110"/>
    </row>
    <row r="22" spans="1:54" x14ac:dyDescent="0.25">
      <c r="A22" s="95">
        <f>RANK(F22,F$5:F$47,0)</f>
        <v>18</v>
      </c>
      <c r="B22" s="72" t="s">
        <v>16</v>
      </c>
      <c r="C22" s="162">
        <v>1966</v>
      </c>
      <c r="D22" s="162" t="s">
        <v>12</v>
      </c>
      <c r="E22" s="59" t="s">
        <v>178</v>
      </c>
      <c r="F22" s="205">
        <f>AL22+AN22</f>
        <v>124</v>
      </c>
      <c r="G22" s="57"/>
      <c r="H22" s="58"/>
      <c r="I22" s="58"/>
      <c r="J22" s="59"/>
      <c r="K22" s="131"/>
      <c r="L22" s="58"/>
      <c r="M22" s="181"/>
      <c r="N22" s="4"/>
      <c r="O22" s="72"/>
      <c r="P22" s="59"/>
      <c r="Q22" s="133"/>
      <c r="R22" s="58"/>
      <c r="S22" s="132"/>
      <c r="T22" s="64"/>
      <c r="U22" s="42"/>
      <c r="V22" s="4"/>
      <c r="W22" s="4"/>
      <c r="X22" s="21"/>
      <c r="Y22" s="133"/>
      <c r="Z22" s="58"/>
      <c r="AA22" s="132"/>
      <c r="AB22" s="59"/>
      <c r="AC22" s="179"/>
      <c r="AD22" s="59"/>
      <c r="AE22" s="133"/>
      <c r="AF22" s="58"/>
      <c r="AG22" s="132"/>
      <c r="AH22" s="59"/>
      <c r="AI22" s="179"/>
      <c r="AJ22" s="59"/>
      <c r="AK22" s="133"/>
      <c r="AL22" s="58"/>
      <c r="AM22" s="132">
        <v>62.402000000000001</v>
      </c>
      <c r="AN22" s="59">
        <v>124</v>
      </c>
      <c r="AO22" s="179"/>
      <c r="AP22" s="59"/>
      <c r="AQ22" s="133"/>
      <c r="AR22" s="58"/>
      <c r="AS22" s="132"/>
      <c r="AT22" s="59"/>
      <c r="AU22" s="179"/>
      <c r="AV22" s="59"/>
      <c r="AW22" s="133"/>
      <c r="AX22" s="58"/>
      <c r="AY22" s="132"/>
      <c r="AZ22" s="59"/>
      <c r="BA22" s="179"/>
      <c r="BB22" s="59"/>
    </row>
    <row r="23" spans="1:54" x14ac:dyDescent="0.25">
      <c r="A23" s="95">
        <f>RANK(F23,F$5:F$47,0)</f>
        <v>19</v>
      </c>
      <c r="B23" s="72" t="s">
        <v>243</v>
      </c>
      <c r="C23" s="162">
        <v>1981</v>
      </c>
      <c r="D23" s="162" t="s">
        <v>12</v>
      </c>
      <c r="E23" s="59" t="s">
        <v>244</v>
      </c>
      <c r="F23" s="205">
        <f>AL23</f>
        <v>0</v>
      </c>
      <c r="G23" s="57"/>
      <c r="H23" s="58"/>
      <c r="I23" s="58"/>
      <c r="J23" s="59"/>
      <c r="K23" s="131"/>
      <c r="L23" s="58"/>
      <c r="M23" s="181"/>
      <c r="N23" s="4"/>
      <c r="O23" s="72"/>
      <c r="P23" s="59"/>
      <c r="Q23" s="133"/>
      <c r="R23" s="58"/>
      <c r="S23" s="132"/>
      <c r="T23" s="64"/>
      <c r="U23" s="42"/>
      <c r="V23" s="4"/>
      <c r="W23" s="4"/>
      <c r="X23" s="21"/>
      <c r="Y23" s="133"/>
      <c r="Z23" s="58"/>
      <c r="AA23" s="132"/>
      <c r="AB23" s="59"/>
      <c r="AC23" s="179"/>
      <c r="AD23" s="59"/>
      <c r="AE23" s="133"/>
      <c r="AF23" s="58"/>
      <c r="AG23" s="132"/>
      <c r="AH23" s="59"/>
      <c r="AI23" s="179"/>
      <c r="AJ23" s="59"/>
      <c r="AK23" s="133"/>
      <c r="AL23" s="58"/>
      <c r="AM23" s="132"/>
      <c r="AN23" s="59"/>
      <c r="AO23" s="179"/>
      <c r="AP23" s="59"/>
      <c r="AQ23" s="133"/>
      <c r="AR23" s="58"/>
      <c r="AS23" s="132"/>
      <c r="AT23" s="59"/>
      <c r="AU23" s="179"/>
      <c r="AV23" s="59"/>
      <c r="AW23" s="133"/>
      <c r="AX23" s="58"/>
      <c r="AY23" s="132"/>
      <c r="AZ23" s="59"/>
      <c r="BA23" s="179"/>
      <c r="BB23" s="59"/>
    </row>
    <row r="24" spans="1:54" x14ac:dyDescent="0.25">
      <c r="A24" s="95">
        <f>RANK(F24,F$5:F$47,0)</f>
        <v>19</v>
      </c>
      <c r="B24" s="72" t="s">
        <v>106</v>
      </c>
      <c r="C24" s="162">
        <v>2004</v>
      </c>
      <c r="D24" s="162" t="s">
        <v>27</v>
      </c>
      <c r="E24" s="59" t="s">
        <v>51</v>
      </c>
      <c r="F24" s="205">
        <f>AL24</f>
        <v>0</v>
      </c>
      <c r="G24" s="57"/>
      <c r="H24" s="58"/>
      <c r="I24" s="58"/>
      <c r="J24" s="59"/>
      <c r="K24" s="131"/>
      <c r="L24" s="58"/>
      <c r="M24" s="181"/>
      <c r="N24" s="4"/>
      <c r="O24" s="72"/>
      <c r="P24" s="59"/>
      <c r="Q24" s="133"/>
      <c r="R24" s="58"/>
      <c r="S24" s="132"/>
      <c r="T24" s="64"/>
      <c r="U24" s="42"/>
      <c r="V24" s="4"/>
      <c r="W24" s="4"/>
      <c r="X24" s="21"/>
      <c r="Y24" s="133"/>
      <c r="Z24" s="58"/>
      <c r="AA24" s="132"/>
      <c r="AB24" s="59"/>
      <c r="AC24" s="179"/>
      <c r="AD24" s="59"/>
      <c r="AE24" s="133"/>
      <c r="AF24" s="58"/>
      <c r="AG24" s="132"/>
      <c r="AH24" s="59"/>
      <c r="AI24" s="179"/>
      <c r="AJ24" s="59"/>
      <c r="AK24" s="133"/>
      <c r="AL24" s="58"/>
      <c r="AM24" s="132"/>
      <c r="AN24" s="59"/>
      <c r="AO24" s="179"/>
      <c r="AP24" s="59"/>
      <c r="AQ24" s="133"/>
      <c r="AR24" s="58"/>
      <c r="AS24" s="132"/>
      <c r="AT24" s="59"/>
      <c r="AU24" s="179"/>
      <c r="AV24" s="59"/>
      <c r="AW24" s="133"/>
      <c r="AX24" s="58"/>
      <c r="AY24" s="132"/>
      <c r="AZ24" s="59"/>
      <c r="BA24" s="179"/>
      <c r="BB24" s="59"/>
    </row>
    <row r="25" spans="1:54" x14ac:dyDescent="0.25">
      <c r="A25" s="95">
        <f>RANK(F25,F$5:F$47,0)</f>
        <v>19</v>
      </c>
      <c r="B25" s="72" t="s">
        <v>77</v>
      </c>
      <c r="C25" s="162">
        <v>2003</v>
      </c>
      <c r="D25" s="162" t="s">
        <v>19</v>
      </c>
      <c r="E25" s="59" t="s">
        <v>235</v>
      </c>
      <c r="F25" s="205">
        <f>Z25</f>
        <v>0</v>
      </c>
      <c r="G25" s="57"/>
      <c r="H25" s="58"/>
      <c r="I25" s="58"/>
      <c r="J25" s="59"/>
      <c r="K25" s="131"/>
      <c r="L25" s="58"/>
      <c r="M25" s="181"/>
      <c r="N25" s="4"/>
      <c r="O25" s="72"/>
      <c r="P25" s="59"/>
      <c r="Q25" s="133"/>
      <c r="R25" s="58"/>
      <c r="S25" s="132"/>
      <c r="T25" s="64"/>
      <c r="U25" s="42"/>
      <c r="V25" s="4"/>
      <c r="W25" s="4"/>
      <c r="X25" s="21"/>
      <c r="Y25" s="133"/>
      <c r="Z25" s="58"/>
      <c r="AA25" s="132"/>
      <c r="AB25" s="59"/>
      <c r="AC25" s="179"/>
      <c r="AD25" s="59"/>
      <c r="AE25" s="133"/>
      <c r="AF25" s="58"/>
      <c r="AG25" s="132"/>
      <c r="AH25" s="59"/>
      <c r="AI25" s="179"/>
      <c r="AJ25" s="59"/>
      <c r="AK25" s="133"/>
      <c r="AL25" s="58"/>
      <c r="AM25" s="132"/>
      <c r="AN25" s="59"/>
      <c r="AO25" s="179"/>
      <c r="AP25" s="59"/>
      <c r="AQ25" s="133"/>
      <c r="AR25" s="58"/>
      <c r="AS25" s="132"/>
      <c r="AT25" s="59"/>
      <c r="AU25" s="179"/>
      <c r="AV25" s="59"/>
      <c r="AW25" s="133"/>
      <c r="AX25" s="58"/>
      <c r="AY25" s="132"/>
      <c r="AZ25" s="59"/>
      <c r="BA25" s="179"/>
      <c r="BB25" s="59"/>
    </row>
    <row r="26" spans="1:54" x14ac:dyDescent="0.25">
      <c r="A26" s="95">
        <f>RANK(F26,F$5:F$47,0)</f>
        <v>19</v>
      </c>
      <c r="B26" s="72" t="s">
        <v>192</v>
      </c>
      <c r="C26" s="162">
        <v>2003</v>
      </c>
      <c r="D26" s="162" t="s">
        <v>19</v>
      </c>
      <c r="E26" s="59" t="s">
        <v>84</v>
      </c>
      <c r="F26" s="205">
        <f>AL26</f>
        <v>0</v>
      </c>
      <c r="G26" s="57"/>
      <c r="H26" s="58"/>
      <c r="I26" s="58"/>
      <c r="J26" s="59"/>
      <c r="K26" s="131"/>
      <c r="L26" s="58"/>
      <c r="M26" s="181"/>
      <c r="N26" s="58"/>
      <c r="O26" s="72"/>
      <c r="P26" s="59"/>
      <c r="Q26" s="133"/>
      <c r="R26" s="58"/>
      <c r="S26" s="132"/>
      <c r="T26" s="64"/>
      <c r="U26" s="57"/>
      <c r="V26" s="58"/>
      <c r="W26" s="58"/>
      <c r="X26" s="59"/>
      <c r="Y26" s="133"/>
      <c r="Z26" s="58"/>
      <c r="AA26" s="132"/>
      <c r="AB26" s="59"/>
      <c r="AC26" s="179"/>
      <c r="AD26" s="59"/>
      <c r="AE26" s="133"/>
      <c r="AF26" s="58"/>
      <c r="AG26" s="132"/>
      <c r="AH26" s="59"/>
      <c r="AI26" s="179"/>
      <c r="AJ26" s="59"/>
      <c r="AK26" s="133"/>
      <c r="AL26" s="58"/>
      <c r="AM26" s="132"/>
      <c r="AN26" s="59"/>
      <c r="AO26" s="179"/>
      <c r="AP26" s="59"/>
      <c r="AQ26" s="133"/>
      <c r="AR26" s="58"/>
      <c r="AS26" s="132"/>
      <c r="AT26" s="59"/>
      <c r="AU26" s="179"/>
      <c r="AV26" s="59"/>
      <c r="AW26" s="133"/>
      <c r="AX26" s="58"/>
      <c r="AY26" s="132"/>
      <c r="AZ26" s="59"/>
      <c r="BA26" s="179"/>
      <c r="BB26" s="59"/>
    </row>
    <row r="27" spans="1:54" x14ac:dyDescent="0.25">
      <c r="A27" s="95">
        <f>RANK(F27,F$5:F$47,0)</f>
        <v>19</v>
      </c>
      <c r="B27" s="72" t="s">
        <v>245</v>
      </c>
      <c r="C27" s="162">
        <v>1996</v>
      </c>
      <c r="D27" s="162" t="s">
        <v>19</v>
      </c>
      <c r="E27" s="59" t="s">
        <v>246</v>
      </c>
      <c r="F27" s="205">
        <f>AL25</f>
        <v>0</v>
      </c>
      <c r="G27" s="57"/>
      <c r="H27" s="58"/>
      <c r="I27" s="58"/>
      <c r="J27" s="59"/>
      <c r="K27" s="131"/>
      <c r="L27" s="58"/>
      <c r="M27" s="181"/>
      <c r="N27" s="58"/>
      <c r="O27" s="72"/>
      <c r="P27" s="59"/>
      <c r="Q27" s="133"/>
      <c r="R27" s="58"/>
      <c r="S27" s="132"/>
      <c r="T27" s="64"/>
      <c r="U27" s="57"/>
      <c r="V27" s="58"/>
      <c r="W27" s="58"/>
      <c r="X27" s="59"/>
      <c r="Y27" s="133"/>
      <c r="Z27" s="58"/>
      <c r="AA27" s="132"/>
      <c r="AB27" s="59"/>
      <c r="AC27" s="179"/>
      <c r="AD27" s="59"/>
      <c r="AE27" s="133"/>
      <c r="AF27" s="58"/>
      <c r="AG27" s="132"/>
      <c r="AH27" s="59"/>
      <c r="AI27" s="179"/>
      <c r="AJ27" s="59"/>
      <c r="AK27" s="133"/>
      <c r="AL27" s="58"/>
      <c r="AM27" s="132"/>
      <c r="AN27" s="59"/>
      <c r="AO27" s="179"/>
      <c r="AP27" s="59"/>
      <c r="AQ27" s="133"/>
      <c r="AR27" s="58"/>
      <c r="AS27" s="132"/>
      <c r="AT27" s="59"/>
      <c r="AU27" s="179"/>
      <c r="AV27" s="59"/>
      <c r="AW27" s="133"/>
      <c r="AX27" s="58"/>
      <c r="AY27" s="132"/>
      <c r="AZ27" s="59"/>
      <c r="BA27" s="179"/>
      <c r="BB27" s="59"/>
    </row>
    <row r="28" spans="1:54" x14ac:dyDescent="0.25">
      <c r="A28" s="95">
        <f>RANK(F28,F$5:F$47,0)</f>
        <v>19</v>
      </c>
      <c r="B28" s="136" t="s">
        <v>87</v>
      </c>
      <c r="C28" s="126">
        <v>2002</v>
      </c>
      <c r="D28" s="127" t="s">
        <v>19</v>
      </c>
      <c r="E28" s="128" t="s">
        <v>244</v>
      </c>
      <c r="F28" s="360">
        <f>Z28</f>
        <v>0</v>
      </c>
      <c r="G28" s="129"/>
      <c r="H28" s="108"/>
      <c r="I28" s="130"/>
      <c r="J28" s="110"/>
      <c r="K28" s="131"/>
      <c r="L28" s="58"/>
      <c r="M28" s="181"/>
      <c r="N28" s="58"/>
      <c r="O28" s="72"/>
      <c r="P28" s="59"/>
      <c r="Q28" s="133"/>
      <c r="R28" s="58"/>
      <c r="S28" s="132"/>
      <c r="T28" s="64"/>
      <c r="U28" s="129"/>
      <c r="V28" s="108"/>
      <c r="W28" s="130"/>
      <c r="X28" s="110"/>
      <c r="Y28" s="186"/>
      <c r="Z28" s="108"/>
      <c r="AA28" s="130"/>
      <c r="AB28" s="110"/>
      <c r="AC28" s="178"/>
      <c r="AD28" s="110"/>
      <c r="AE28" s="186"/>
      <c r="AF28" s="108"/>
      <c r="AG28" s="130"/>
      <c r="AH28" s="110"/>
      <c r="AI28" s="178"/>
      <c r="AJ28" s="110"/>
      <c r="AK28" s="186"/>
      <c r="AL28" s="108"/>
      <c r="AM28" s="130"/>
      <c r="AN28" s="110"/>
      <c r="AO28" s="178"/>
      <c r="AP28" s="110"/>
      <c r="AQ28" s="186"/>
      <c r="AR28" s="108"/>
      <c r="AS28" s="130"/>
      <c r="AT28" s="110"/>
      <c r="AU28" s="178"/>
      <c r="AV28" s="110"/>
      <c r="AW28" s="186"/>
      <c r="AX28" s="108"/>
      <c r="AY28" s="130"/>
      <c r="AZ28" s="110"/>
      <c r="BA28" s="178"/>
      <c r="BB28" s="110"/>
    </row>
    <row r="29" spans="1:54" ht="29.25" customHeight="1" thickBot="1" x14ac:dyDescent="0.3">
      <c r="A29" s="95"/>
      <c r="B29" s="180" t="s">
        <v>127</v>
      </c>
      <c r="C29" s="2">
        <v>2003</v>
      </c>
      <c r="D29" s="2" t="s">
        <v>19</v>
      </c>
      <c r="E29" s="24" t="s">
        <v>169</v>
      </c>
      <c r="F29" s="173"/>
      <c r="G29" s="22"/>
      <c r="H29" s="23"/>
      <c r="I29" s="23"/>
      <c r="J29" s="24"/>
      <c r="K29" s="28"/>
      <c r="L29" s="23"/>
      <c r="M29" s="182"/>
      <c r="N29" s="23"/>
      <c r="O29" s="180"/>
      <c r="P29" s="24"/>
      <c r="Q29" s="82"/>
      <c r="R29" s="23"/>
      <c r="S29" s="31"/>
      <c r="T29" s="34"/>
      <c r="U29" s="22"/>
      <c r="V29" s="23"/>
      <c r="W29" s="23"/>
      <c r="X29" s="24"/>
      <c r="Y29" s="82"/>
      <c r="Z29" s="23"/>
      <c r="AA29" s="31"/>
      <c r="AB29" s="24"/>
      <c r="AC29" s="361"/>
      <c r="AD29" s="24"/>
      <c r="AE29" s="82"/>
      <c r="AF29" s="23"/>
      <c r="AG29" s="31"/>
      <c r="AH29" s="24"/>
      <c r="AI29" s="361"/>
      <c r="AJ29" s="24"/>
      <c r="AK29" s="82"/>
      <c r="AL29" s="23"/>
      <c r="AM29" s="31"/>
      <c r="AN29" s="24"/>
      <c r="AO29" s="361"/>
      <c r="AP29" s="24"/>
      <c r="AQ29" s="82"/>
      <c r="AR29" s="23"/>
      <c r="AS29" s="31"/>
      <c r="AT29" s="24"/>
      <c r="AU29" s="361"/>
      <c r="AV29" s="24"/>
      <c r="AW29" s="82"/>
      <c r="AX29" s="23"/>
      <c r="AY29" s="31"/>
      <c r="AZ29" s="24"/>
      <c r="BA29" s="361"/>
      <c r="BB29" s="24"/>
    </row>
  </sheetData>
  <sortState ref="A5:BB29">
    <sortCondition ref="A5:A29"/>
  </sortState>
  <mergeCells count="35">
    <mergeCell ref="K2:P2"/>
    <mergeCell ref="U2:X2"/>
    <mergeCell ref="A2:A4"/>
    <mergeCell ref="B2:D2"/>
    <mergeCell ref="B3:B4"/>
    <mergeCell ref="C3:C4"/>
    <mergeCell ref="D3:D4"/>
    <mergeCell ref="E3:E4"/>
    <mergeCell ref="K3:L3"/>
    <mergeCell ref="M3:N3"/>
    <mergeCell ref="O3:P3"/>
    <mergeCell ref="F2:F4"/>
    <mergeCell ref="G2:J2"/>
    <mergeCell ref="G3:H3"/>
    <mergeCell ref="I3:J3"/>
    <mergeCell ref="Q2:T2"/>
    <mergeCell ref="AK2:AP2"/>
    <mergeCell ref="AK3:AL3"/>
    <mergeCell ref="AM3:AN3"/>
    <mergeCell ref="Q3:R3"/>
    <mergeCell ref="S3:T3"/>
    <mergeCell ref="Y2:AD2"/>
    <mergeCell ref="AE2:AJ2"/>
    <mergeCell ref="AE3:AF3"/>
    <mergeCell ref="AG3:AH3"/>
    <mergeCell ref="Y3:Z3"/>
    <mergeCell ref="AA3:AB3"/>
    <mergeCell ref="U3:V3"/>
    <mergeCell ref="W3:X3"/>
    <mergeCell ref="AW2:BB2"/>
    <mergeCell ref="AW3:AX3"/>
    <mergeCell ref="AY3:AZ3"/>
    <mergeCell ref="AQ2:AV2"/>
    <mergeCell ref="AQ3:AR3"/>
    <mergeCell ref="AS3:AT3"/>
  </mergeCells>
  <pageMargins left="0.7" right="0.7" top="0.75" bottom="0.75" header="0.3" footer="0.3"/>
  <pageSetup paperSize="9" scale="51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0"/>
  <sheetViews>
    <sheetView zoomScale="90" zoomScaleNormal="90" workbookViewId="0"/>
  </sheetViews>
  <sheetFormatPr defaultRowHeight="15" x14ac:dyDescent="0.25"/>
  <cols>
    <col min="1" max="1" width="5.42578125" customWidth="1"/>
    <col min="2" max="2" width="25.85546875" customWidth="1"/>
    <col min="3" max="3" width="6.85546875" customWidth="1"/>
    <col min="4" max="4" width="8.85546875" customWidth="1"/>
    <col min="5" max="5" width="20.85546875" customWidth="1"/>
    <col min="6" max="6" width="6.140625" customWidth="1"/>
    <col min="7" max="8" width="5.85546875" customWidth="1"/>
    <col min="9" max="9" width="5.28515625" customWidth="1"/>
    <col min="10" max="10" width="5.140625" customWidth="1"/>
    <col min="11" max="11" width="6.85546875" customWidth="1"/>
    <col min="12" max="12" width="5.140625" customWidth="1"/>
    <col min="13" max="13" width="5.85546875" customWidth="1"/>
    <col min="14" max="14" width="5.28515625" customWidth="1"/>
    <col min="15" max="15" width="6.28515625" customWidth="1"/>
    <col min="16" max="16" width="5.85546875" customWidth="1"/>
    <col min="17" max="17" width="7.140625" customWidth="1"/>
    <col min="18" max="18" width="5.85546875" customWidth="1"/>
    <col min="19" max="19" width="6" customWidth="1"/>
    <col min="20" max="20" width="5" customWidth="1"/>
    <col min="21" max="21" width="6.42578125" customWidth="1"/>
    <col min="22" max="22" width="5.42578125" customWidth="1"/>
    <col min="23" max="23" width="6.5703125" customWidth="1"/>
    <col min="24" max="24" width="6.28515625" customWidth="1"/>
  </cols>
  <sheetData>
    <row r="1" spans="1:24" ht="15.75" thickBot="1" x14ac:dyDescent="0.3">
      <c r="A1" t="s">
        <v>254</v>
      </c>
    </row>
    <row r="2" spans="1:24" ht="39.75" customHeight="1" x14ac:dyDescent="0.25">
      <c r="A2" s="321" t="s">
        <v>0</v>
      </c>
      <c r="B2" s="265" t="s">
        <v>1</v>
      </c>
      <c r="C2" s="266"/>
      <c r="D2" s="266"/>
      <c r="E2" s="74" t="s">
        <v>2</v>
      </c>
      <c r="F2" s="308" t="s">
        <v>3</v>
      </c>
      <c r="G2" s="319" t="s">
        <v>91</v>
      </c>
      <c r="H2" s="320"/>
      <c r="I2" s="320"/>
      <c r="J2" s="320"/>
      <c r="K2" s="331" t="s">
        <v>158</v>
      </c>
      <c r="L2" s="332"/>
      <c r="M2" s="332"/>
      <c r="N2" s="332"/>
      <c r="O2" s="316" t="s">
        <v>159</v>
      </c>
      <c r="P2" s="317"/>
      <c r="Q2" s="317"/>
      <c r="R2" s="317"/>
      <c r="S2" s="328" t="s">
        <v>155</v>
      </c>
      <c r="T2" s="328"/>
      <c r="U2" s="328"/>
      <c r="V2" s="329"/>
      <c r="W2" s="319" t="s">
        <v>166</v>
      </c>
      <c r="X2" s="320"/>
    </row>
    <row r="3" spans="1:24" ht="14.25" customHeight="1" x14ac:dyDescent="0.25">
      <c r="A3" s="322"/>
      <c r="B3" s="299" t="s">
        <v>4</v>
      </c>
      <c r="C3" s="301" t="s">
        <v>5</v>
      </c>
      <c r="D3" s="324" t="s">
        <v>6</v>
      </c>
      <c r="E3" s="326" t="s">
        <v>7</v>
      </c>
      <c r="F3" s="309"/>
      <c r="G3" s="291" t="s">
        <v>72</v>
      </c>
      <c r="H3" s="318"/>
      <c r="I3" s="318" t="s">
        <v>73</v>
      </c>
      <c r="J3" s="318"/>
      <c r="K3" s="318" t="s">
        <v>73</v>
      </c>
      <c r="L3" s="318"/>
      <c r="M3" s="318" t="s">
        <v>160</v>
      </c>
      <c r="N3" s="318"/>
      <c r="O3" s="318" t="s">
        <v>72</v>
      </c>
      <c r="P3" s="318"/>
      <c r="Q3" s="318" t="s">
        <v>73</v>
      </c>
      <c r="R3" s="318"/>
      <c r="S3" s="318" t="s">
        <v>72</v>
      </c>
      <c r="T3" s="318"/>
      <c r="U3" s="318" t="s">
        <v>73</v>
      </c>
      <c r="V3" s="330"/>
      <c r="W3" s="291" t="s">
        <v>72</v>
      </c>
      <c r="X3" s="318"/>
    </row>
    <row r="4" spans="1:24" ht="15" customHeight="1" thickBot="1" x14ac:dyDescent="0.3">
      <c r="A4" s="323"/>
      <c r="B4" s="300"/>
      <c r="C4" s="302"/>
      <c r="D4" s="325"/>
      <c r="E4" s="327"/>
      <c r="F4" s="310"/>
      <c r="G4" s="80" t="s">
        <v>14</v>
      </c>
      <c r="H4" s="53" t="s">
        <v>15</v>
      </c>
      <c r="I4" s="53" t="s">
        <v>14</v>
      </c>
      <c r="J4" s="53" t="s">
        <v>15</v>
      </c>
      <c r="K4" s="53" t="s">
        <v>14</v>
      </c>
      <c r="L4" s="53" t="s">
        <v>15</v>
      </c>
      <c r="M4" s="53" t="s">
        <v>14</v>
      </c>
      <c r="N4" s="53" t="s">
        <v>15</v>
      </c>
      <c r="O4" s="53" t="s">
        <v>14</v>
      </c>
      <c r="P4" s="53" t="s">
        <v>15</v>
      </c>
      <c r="Q4" s="53" t="s">
        <v>14</v>
      </c>
      <c r="R4" s="53" t="s">
        <v>15</v>
      </c>
      <c r="S4" s="53" t="s">
        <v>14</v>
      </c>
      <c r="T4" s="53" t="s">
        <v>15</v>
      </c>
      <c r="U4" s="53" t="s">
        <v>14</v>
      </c>
      <c r="V4" s="54" t="s">
        <v>15</v>
      </c>
      <c r="W4" s="80" t="s">
        <v>14</v>
      </c>
      <c r="X4" s="53" t="s">
        <v>15</v>
      </c>
    </row>
    <row r="5" spans="1:24" x14ac:dyDescent="0.25">
      <c r="A5" s="138">
        <f>RANK(F5,F$5:F$41,0)</f>
        <v>1</v>
      </c>
      <c r="B5" s="137" t="s">
        <v>153</v>
      </c>
      <c r="C5" s="76">
        <v>1997</v>
      </c>
      <c r="D5" s="77" t="s">
        <v>19</v>
      </c>
      <c r="E5" s="78" t="s">
        <v>154</v>
      </c>
      <c r="F5" s="39">
        <f>L5+N5+P5+R5+T5+V5</f>
        <v>991</v>
      </c>
      <c r="G5" s="37"/>
      <c r="H5" s="5"/>
      <c r="I5" s="29"/>
      <c r="J5" s="5"/>
      <c r="K5" s="83" t="s">
        <v>161</v>
      </c>
      <c r="L5" s="84">
        <f>160+20</f>
        <v>180</v>
      </c>
      <c r="M5" s="83" t="s">
        <v>162</v>
      </c>
      <c r="N5" s="84">
        <f>147+20</f>
        <v>167</v>
      </c>
      <c r="O5" s="83" t="s">
        <v>163</v>
      </c>
      <c r="P5" s="84">
        <f>142+20</f>
        <v>162</v>
      </c>
      <c r="Q5" s="83" t="s">
        <v>164</v>
      </c>
      <c r="R5" s="5">
        <f>128+20</f>
        <v>148</v>
      </c>
      <c r="S5" s="83" t="s">
        <v>156</v>
      </c>
      <c r="T5" s="85">
        <f>121+50</f>
        <v>171</v>
      </c>
      <c r="U5" s="83" t="s">
        <v>157</v>
      </c>
      <c r="V5" s="71">
        <f>113+50</f>
        <v>163</v>
      </c>
      <c r="W5" s="37"/>
      <c r="X5" s="5"/>
    </row>
    <row r="6" spans="1:24" x14ac:dyDescent="0.25">
      <c r="A6" s="139">
        <f t="shared" ref="A6:A20" si="0">RANK(F6,F$5:F$41,0)</f>
        <v>2</v>
      </c>
      <c r="B6" s="93" t="s">
        <v>41</v>
      </c>
      <c r="C6" s="75">
        <v>1996</v>
      </c>
      <c r="D6" s="36" t="s">
        <v>19</v>
      </c>
      <c r="E6" s="79" t="s">
        <v>42</v>
      </c>
      <c r="F6" s="40">
        <f>H6+J6</f>
        <v>359</v>
      </c>
      <c r="G6" s="81">
        <v>68.48</v>
      </c>
      <c r="H6" s="56">
        <v>185</v>
      </c>
      <c r="I6" s="35">
        <v>67.385000000000005</v>
      </c>
      <c r="J6" s="56">
        <v>174</v>
      </c>
      <c r="K6" s="56"/>
      <c r="L6" s="56"/>
      <c r="M6" s="56"/>
      <c r="N6" s="56"/>
      <c r="O6" s="56"/>
      <c r="P6" s="56"/>
      <c r="Q6" s="56"/>
      <c r="R6" s="56"/>
      <c r="S6" s="4"/>
      <c r="T6" s="4"/>
      <c r="U6" s="4"/>
      <c r="V6" s="21"/>
      <c r="W6" s="81"/>
      <c r="X6" s="56"/>
    </row>
    <row r="7" spans="1:24" ht="18" customHeight="1" x14ac:dyDescent="0.25">
      <c r="A7" s="139">
        <f t="shared" si="0"/>
        <v>3</v>
      </c>
      <c r="B7" s="93" t="s">
        <v>22</v>
      </c>
      <c r="C7" s="75">
        <v>1996</v>
      </c>
      <c r="D7" s="36" t="s">
        <v>19</v>
      </c>
      <c r="E7" s="117" t="s">
        <v>38</v>
      </c>
      <c r="F7" s="40">
        <f>H7+J7</f>
        <v>351</v>
      </c>
      <c r="G7" s="81">
        <v>68.087999999999994</v>
      </c>
      <c r="H7" s="56">
        <v>181</v>
      </c>
      <c r="I7" s="35">
        <v>66.974000000000004</v>
      </c>
      <c r="J7" s="56">
        <v>170</v>
      </c>
      <c r="K7" s="56"/>
      <c r="L7" s="56"/>
      <c r="M7" s="56"/>
      <c r="N7" s="56"/>
      <c r="O7" s="56"/>
      <c r="P7" s="56"/>
      <c r="Q7" s="56"/>
      <c r="R7" s="56"/>
      <c r="S7" s="4"/>
      <c r="T7" s="4"/>
      <c r="U7" s="4"/>
      <c r="V7" s="21"/>
      <c r="W7" s="81"/>
      <c r="X7" s="56"/>
    </row>
    <row r="8" spans="1:24" ht="18" customHeight="1" x14ac:dyDescent="0.25">
      <c r="A8" s="139">
        <f t="shared" si="0"/>
        <v>4</v>
      </c>
      <c r="B8" s="93" t="s">
        <v>43</v>
      </c>
      <c r="C8" s="75">
        <v>1999</v>
      </c>
      <c r="D8" s="36" t="s">
        <v>19</v>
      </c>
      <c r="E8" s="79" t="s">
        <v>44</v>
      </c>
      <c r="F8" s="40">
        <f>H8+J8</f>
        <v>311</v>
      </c>
      <c r="G8" s="81">
        <v>65.147000000000006</v>
      </c>
      <c r="H8" s="56">
        <v>151</v>
      </c>
      <c r="I8" s="35">
        <v>65.974000000000004</v>
      </c>
      <c r="J8" s="56">
        <v>160</v>
      </c>
      <c r="K8" s="56"/>
      <c r="L8" s="56"/>
      <c r="M8" s="56"/>
      <c r="N8" s="56"/>
      <c r="O8" s="56"/>
      <c r="P8" s="56"/>
      <c r="Q8" s="56"/>
      <c r="R8" s="56"/>
      <c r="S8" s="4"/>
      <c r="T8" s="4"/>
      <c r="U8" s="4"/>
      <c r="V8" s="21"/>
      <c r="W8" s="81"/>
      <c r="X8" s="56"/>
    </row>
    <row r="9" spans="1:24" ht="18" hidden="1" customHeight="1" x14ac:dyDescent="0.25">
      <c r="A9" s="139" t="e">
        <f t="shared" si="0"/>
        <v>#N/A</v>
      </c>
      <c r="B9" s="7"/>
      <c r="C9" s="4"/>
      <c r="D9" s="4"/>
      <c r="E9" s="6"/>
      <c r="F9" s="40"/>
      <c r="G9" s="38"/>
      <c r="H9" s="4"/>
      <c r="I9" s="30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21"/>
      <c r="W9" s="38"/>
      <c r="X9" s="4"/>
    </row>
    <row r="10" spans="1:24" ht="30" hidden="1" customHeight="1" x14ac:dyDescent="0.25">
      <c r="A10" s="139" t="e">
        <f t="shared" si="0"/>
        <v>#N/A</v>
      </c>
      <c r="B10" s="7"/>
      <c r="C10" s="4"/>
      <c r="D10" s="4"/>
      <c r="E10" s="6"/>
      <c r="F10" s="40"/>
      <c r="G10" s="38"/>
      <c r="H10" s="4"/>
      <c r="I10" s="30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21"/>
      <c r="W10" s="38"/>
      <c r="X10" s="4"/>
    </row>
    <row r="11" spans="1:24" ht="12.75" hidden="1" customHeight="1" x14ac:dyDescent="0.25">
      <c r="A11" s="139" t="e">
        <f t="shared" si="0"/>
        <v>#N/A</v>
      </c>
      <c r="B11" s="7"/>
      <c r="C11" s="4"/>
      <c r="D11" s="4"/>
      <c r="E11" s="6"/>
      <c r="F11" s="40"/>
      <c r="G11" s="38"/>
      <c r="H11" s="4"/>
      <c r="I11" s="30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21"/>
      <c r="W11" s="38"/>
      <c r="X11" s="4"/>
    </row>
    <row r="12" spans="1:24" ht="25.5" hidden="1" customHeight="1" x14ac:dyDescent="0.25">
      <c r="A12" s="139" t="e">
        <f t="shared" si="0"/>
        <v>#N/A</v>
      </c>
      <c r="B12" s="7"/>
      <c r="C12" s="4"/>
      <c r="D12" s="4"/>
      <c r="E12" s="6"/>
      <c r="F12" s="40"/>
      <c r="G12" s="38"/>
      <c r="H12" s="4"/>
      <c r="I12" s="30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21"/>
      <c r="W12" s="38"/>
      <c r="X12" s="4"/>
    </row>
    <row r="13" spans="1:24" ht="9" hidden="1" customHeight="1" x14ac:dyDescent="0.25">
      <c r="A13" s="139" t="e">
        <f t="shared" si="0"/>
        <v>#N/A</v>
      </c>
      <c r="B13" s="7"/>
      <c r="C13" s="4"/>
      <c r="D13" s="4"/>
      <c r="E13" s="6"/>
      <c r="F13" s="40"/>
      <c r="G13" s="38"/>
      <c r="H13" s="4"/>
      <c r="I13" s="30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21"/>
      <c r="W13" s="38"/>
      <c r="X13" s="4"/>
    </row>
    <row r="14" spans="1:24" ht="9" hidden="1" customHeight="1" x14ac:dyDescent="0.25">
      <c r="A14" s="139" t="e">
        <f t="shared" si="0"/>
        <v>#N/A</v>
      </c>
      <c r="B14" s="7"/>
      <c r="C14" s="4"/>
      <c r="D14" s="4"/>
      <c r="E14" s="6"/>
      <c r="F14" s="40"/>
      <c r="G14" s="38"/>
      <c r="H14" s="4"/>
      <c r="I14" s="30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21"/>
      <c r="W14" s="38"/>
      <c r="X14" s="4"/>
    </row>
    <row r="15" spans="1:24" ht="14.25" hidden="1" customHeight="1" x14ac:dyDescent="0.25">
      <c r="A15" s="139" t="e">
        <f t="shared" si="0"/>
        <v>#N/A</v>
      </c>
      <c r="B15" s="7"/>
      <c r="C15" s="4"/>
      <c r="D15" s="4"/>
      <c r="E15" s="6"/>
      <c r="F15" s="40"/>
      <c r="G15" s="38"/>
      <c r="H15" s="4"/>
      <c r="I15" s="30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21"/>
      <c r="W15" s="38"/>
      <c r="X15" s="4"/>
    </row>
    <row r="16" spans="1:24" ht="20.25" hidden="1" customHeight="1" x14ac:dyDescent="0.25">
      <c r="A16" s="139" t="e">
        <f t="shared" si="0"/>
        <v>#N/A</v>
      </c>
      <c r="B16" s="7"/>
      <c r="C16" s="4"/>
      <c r="D16" s="4"/>
      <c r="E16" s="6"/>
      <c r="F16" s="40"/>
      <c r="G16" s="38"/>
      <c r="H16" s="4"/>
      <c r="I16" s="30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21"/>
      <c r="W16" s="38"/>
      <c r="X16" s="4"/>
    </row>
    <row r="17" spans="1:24" ht="23.25" hidden="1" customHeight="1" x14ac:dyDescent="0.25">
      <c r="A17" s="139" t="e">
        <f t="shared" si="0"/>
        <v>#N/A</v>
      </c>
      <c r="B17" s="7"/>
      <c r="C17" s="4"/>
      <c r="D17" s="4"/>
      <c r="E17" s="6"/>
      <c r="F17" s="40"/>
      <c r="G17" s="38"/>
      <c r="H17" s="4"/>
      <c r="I17" s="30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21"/>
      <c r="W17" s="38"/>
      <c r="X17" s="4"/>
    </row>
    <row r="18" spans="1:24" hidden="1" x14ac:dyDescent="0.25">
      <c r="A18" s="139" t="e">
        <f t="shared" si="0"/>
        <v>#N/A</v>
      </c>
      <c r="B18" s="7"/>
      <c r="C18" s="4"/>
      <c r="D18" s="4"/>
      <c r="E18" s="6"/>
      <c r="F18" s="40"/>
      <c r="G18" s="38"/>
      <c r="H18" s="4"/>
      <c r="I18" s="30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21"/>
      <c r="W18" s="38"/>
      <c r="X18" s="4"/>
    </row>
    <row r="19" spans="1:24" hidden="1" x14ac:dyDescent="0.25">
      <c r="A19" s="139" t="e">
        <f t="shared" si="0"/>
        <v>#N/A</v>
      </c>
      <c r="B19" s="7"/>
      <c r="C19" s="4"/>
      <c r="D19" s="4"/>
      <c r="E19" s="6"/>
      <c r="F19" s="40"/>
      <c r="G19" s="38"/>
      <c r="H19" s="4"/>
      <c r="I19" s="30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21"/>
      <c r="W19" s="38"/>
      <c r="X19" s="4"/>
    </row>
    <row r="20" spans="1:24" ht="17.25" customHeight="1" thickBot="1" x14ac:dyDescent="0.3">
      <c r="A20" s="140">
        <f t="shared" si="0"/>
        <v>5</v>
      </c>
      <c r="B20" s="93" t="s">
        <v>39</v>
      </c>
      <c r="C20" s="19">
        <v>1996</v>
      </c>
      <c r="D20" s="15" t="s">
        <v>19</v>
      </c>
      <c r="E20" s="11" t="s">
        <v>165</v>
      </c>
      <c r="F20" s="41">
        <v>161</v>
      </c>
      <c r="G20" s="82"/>
      <c r="H20" s="23"/>
      <c r="I20" s="31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4"/>
      <c r="W20" s="82">
        <v>66.126999999999995</v>
      </c>
      <c r="X20" s="23">
        <v>161</v>
      </c>
    </row>
  </sheetData>
  <sortState ref="A5:X20">
    <sortCondition ref="A5:A20"/>
  </sortState>
  <mergeCells count="21">
    <mergeCell ref="W2:X2"/>
    <mergeCell ref="W3:X3"/>
    <mergeCell ref="F2:F4"/>
    <mergeCell ref="G2:J2"/>
    <mergeCell ref="A2:A4"/>
    <mergeCell ref="B2:D2"/>
    <mergeCell ref="B3:B4"/>
    <mergeCell ref="C3:C4"/>
    <mergeCell ref="D3:D4"/>
    <mergeCell ref="E3:E4"/>
    <mergeCell ref="G3:H3"/>
    <mergeCell ref="I3:J3"/>
    <mergeCell ref="S2:V2"/>
    <mergeCell ref="S3:T3"/>
    <mergeCell ref="U3:V3"/>
    <mergeCell ref="K2:N2"/>
    <mergeCell ref="O2:R2"/>
    <mergeCell ref="K3:L3"/>
    <mergeCell ref="Q3:R3"/>
    <mergeCell ref="O3:P3"/>
    <mergeCell ref="M3:N3"/>
  </mergeCells>
  <pageMargins left="0.7" right="0.7" top="0.75" bottom="0.75" header="0.3" footer="0.3"/>
  <pageSetup paperSize="9" scale="7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112"/>
  <sheetViews>
    <sheetView tabSelected="1" zoomScale="80" zoomScaleNormal="80" workbookViewId="0">
      <selection activeCell="D14" sqref="D14"/>
    </sheetView>
  </sheetViews>
  <sheetFormatPr defaultRowHeight="15" x14ac:dyDescent="0.25"/>
  <cols>
    <col min="1" max="1" width="5.28515625" customWidth="1"/>
    <col min="2" max="2" width="28.140625" customWidth="1"/>
    <col min="3" max="3" width="7.140625" customWidth="1"/>
    <col min="4" max="4" width="8.7109375" customWidth="1"/>
    <col min="5" max="5" width="18.5703125" customWidth="1"/>
    <col min="6" max="6" width="9.28515625" style="159" customWidth="1"/>
    <col min="7" max="7" width="6.7109375" customWidth="1"/>
    <col min="8" max="8" width="6.7109375" style="141" customWidth="1"/>
    <col min="9" max="9" width="6.7109375" style="142" customWidth="1"/>
    <col min="10" max="10" width="6.7109375" style="141" customWidth="1"/>
    <col min="11" max="11" width="6.7109375" style="142" customWidth="1"/>
    <col min="12" max="12" width="6.7109375" style="141" customWidth="1"/>
    <col min="13" max="13" width="6.7109375" style="142" customWidth="1"/>
    <col min="14" max="14" width="6.7109375" style="141" customWidth="1"/>
    <col min="15" max="28" width="6.7109375" customWidth="1"/>
    <col min="29" max="29" width="8.140625" customWidth="1"/>
    <col min="30" max="30" width="6.7109375" style="203" customWidth="1"/>
    <col min="31" max="31" width="8.140625" customWidth="1"/>
    <col min="32" max="32" width="6.7109375" style="203" customWidth="1"/>
    <col min="33" max="33" width="8.140625" customWidth="1"/>
    <col min="34" max="34" width="6.7109375" style="203" customWidth="1"/>
  </cols>
  <sheetData>
    <row r="1" spans="1:35" ht="15.75" thickBot="1" x14ac:dyDescent="0.3">
      <c r="A1" t="s">
        <v>252</v>
      </c>
    </row>
    <row r="2" spans="1:35" ht="56.25" customHeight="1" thickBot="1" x14ac:dyDescent="0.3">
      <c r="A2" s="296" t="s">
        <v>0</v>
      </c>
      <c r="B2" s="265" t="s">
        <v>1</v>
      </c>
      <c r="C2" s="266"/>
      <c r="D2" s="267"/>
      <c r="E2" s="121" t="s">
        <v>2</v>
      </c>
      <c r="F2" s="308" t="s">
        <v>3</v>
      </c>
      <c r="G2" s="348" t="s">
        <v>260</v>
      </c>
      <c r="H2" s="320"/>
      <c r="I2" s="344" t="s">
        <v>259</v>
      </c>
      <c r="J2" s="344"/>
      <c r="K2" s="344"/>
      <c r="L2" s="345"/>
      <c r="M2" s="345"/>
      <c r="N2" s="345"/>
      <c r="O2" s="265" t="s">
        <v>261</v>
      </c>
      <c r="P2" s="266"/>
      <c r="Q2" s="266"/>
      <c r="R2" s="266"/>
      <c r="S2" s="266"/>
      <c r="T2" s="267"/>
      <c r="U2" s="265" t="s">
        <v>210</v>
      </c>
      <c r="V2" s="266"/>
      <c r="W2" s="266"/>
      <c r="X2" s="266"/>
      <c r="Y2" s="266"/>
      <c r="Z2" s="267"/>
      <c r="AA2" s="334" t="s">
        <v>262</v>
      </c>
      <c r="AB2" s="335"/>
      <c r="AC2" s="339" t="s">
        <v>263</v>
      </c>
      <c r="AD2" s="340"/>
      <c r="AE2" s="339" t="s">
        <v>267</v>
      </c>
      <c r="AF2" s="340"/>
      <c r="AG2" s="339" t="s">
        <v>269</v>
      </c>
      <c r="AH2" s="340"/>
      <c r="AI2" t="s">
        <v>184</v>
      </c>
    </row>
    <row r="3" spans="1:35" ht="15.75" x14ac:dyDescent="0.25">
      <c r="A3" s="297"/>
      <c r="B3" s="299" t="s">
        <v>4</v>
      </c>
      <c r="C3" s="301" t="s">
        <v>5</v>
      </c>
      <c r="D3" s="303" t="s">
        <v>6</v>
      </c>
      <c r="E3" s="343" t="s">
        <v>7</v>
      </c>
      <c r="F3" s="309"/>
      <c r="G3" s="290" t="s">
        <v>76</v>
      </c>
      <c r="H3" s="290"/>
      <c r="I3" s="346" t="s">
        <v>135</v>
      </c>
      <c r="J3" s="347"/>
      <c r="K3" s="346" t="s">
        <v>134</v>
      </c>
      <c r="L3" s="347"/>
      <c r="M3" s="346" t="s">
        <v>133</v>
      </c>
      <c r="N3" s="347"/>
      <c r="O3" s="333" t="s">
        <v>135</v>
      </c>
      <c r="P3" s="318"/>
      <c r="Q3" s="318" t="s">
        <v>134</v>
      </c>
      <c r="R3" s="318"/>
      <c r="S3" s="318" t="s">
        <v>133</v>
      </c>
      <c r="T3" s="330"/>
      <c r="U3" s="333" t="s">
        <v>135</v>
      </c>
      <c r="V3" s="318"/>
      <c r="W3" s="318" t="s">
        <v>134</v>
      </c>
      <c r="X3" s="318"/>
      <c r="Y3" s="318" t="s">
        <v>133</v>
      </c>
      <c r="Z3" s="330"/>
      <c r="AA3" s="336" t="s">
        <v>224</v>
      </c>
      <c r="AB3" s="337"/>
      <c r="AC3" s="341" t="s">
        <v>224</v>
      </c>
      <c r="AD3" s="342"/>
      <c r="AE3" s="341" t="s">
        <v>76</v>
      </c>
      <c r="AF3" s="342"/>
      <c r="AG3" s="341" t="s">
        <v>76</v>
      </c>
      <c r="AH3" s="342"/>
    </row>
    <row r="4" spans="1:35" ht="15.75" thickBot="1" x14ac:dyDescent="0.3">
      <c r="A4" s="338"/>
      <c r="B4" s="299"/>
      <c r="C4" s="301"/>
      <c r="D4" s="303"/>
      <c r="E4" s="343"/>
      <c r="F4" s="310"/>
      <c r="G4" s="118" t="s">
        <v>14</v>
      </c>
      <c r="H4" s="143" t="s">
        <v>15</v>
      </c>
      <c r="I4" s="144" t="s">
        <v>14</v>
      </c>
      <c r="J4" s="143" t="s">
        <v>15</v>
      </c>
      <c r="K4" s="145" t="s">
        <v>14</v>
      </c>
      <c r="L4" s="143" t="s">
        <v>15</v>
      </c>
      <c r="M4" s="146" t="s">
        <v>14</v>
      </c>
      <c r="N4" s="147" t="s">
        <v>15</v>
      </c>
      <c r="O4" s="118" t="s">
        <v>14</v>
      </c>
      <c r="P4" s="2" t="s">
        <v>15</v>
      </c>
      <c r="Q4" s="119" t="s">
        <v>14</v>
      </c>
      <c r="R4" s="2" t="s">
        <v>15</v>
      </c>
      <c r="S4" s="120" t="s">
        <v>14</v>
      </c>
      <c r="T4" s="3" t="s">
        <v>15</v>
      </c>
      <c r="U4" s="118" t="s">
        <v>14</v>
      </c>
      <c r="V4" s="2" t="s">
        <v>15</v>
      </c>
      <c r="W4" s="119" t="s">
        <v>14</v>
      </c>
      <c r="X4" s="2" t="s">
        <v>15</v>
      </c>
      <c r="Y4" s="120" t="s">
        <v>14</v>
      </c>
      <c r="Z4" s="3" t="s">
        <v>15</v>
      </c>
      <c r="AA4" s="118" t="s">
        <v>14</v>
      </c>
      <c r="AB4" s="2" t="s">
        <v>15</v>
      </c>
      <c r="AC4" s="118" t="s">
        <v>14</v>
      </c>
      <c r="AD4" s="143" t="s">
        <v>247</v>
      </c>
      <c r="AE4" s="118" t="s">
        <v>14</v>
      </c>
      <c r="AF4" s="143" t="s">
        <v>15</v>
      </c>
      <c r="AG4" s="118" t="s">
        <v>14</v>
      </c>
      <c r="AH4" s="143" t="s">
        <v>15</v>
      </c>
    </row>
    <row r="5" spans="1:35" x14ac:dyDescent="0.25">
      <c r="A5" s="160">
        <f>RANK(F5,F$5:F$69,0)</f>
        <v>1</v>
      </c>
      <c r="B5" s="236" t="s">
        <v>77</v>
      </c>
      <c r="C5" s="237">
        <v>2003</v>
      </c>
      <c r="D5" s="238" t="s">
        <v>19</v>
      </c>
      <c r="E5" s="239" t="s">
        <v>78</v>
      </c>
      <c r="F5" s="206">
        <f>J5+L5+P5+T5+V5+AF5</f>
        <v>1163</v>
      </c>
      <c r="G5" s="240">
        <v>67.5</v>
      </c>
      <c r="H5" s="148">
        <v>175</v>
      </c>
      <c r="I5" s="149">
        <v>68.430999999999997</v>
      </c>
      <c r="J5" s="62">
        <v>184</v>
      </c>
      <c r="K5" s="149">
        <v>68.823999999999998</v>
      </c>
      <c r="L5" s="62">
        <v>188</v>
      </c>
      <c r="M5" s="149">
        <v>70.141999999999996</v>
      </c>
      <c r="N5" s="62">
        <v>174</v>
      </c>
      <c r="O5" s="96">
        <v>68.921999999999997</v>
      </c>
      <c r="P5" s="5">
        <f>189+20</f>
        <v>209</v>
      </c>
      <c r="Q5" s="29">
        <v>65.900000000000006</v>
      </c>
      <c r="R5" s="5">
        <f>159+20</f>
        <v>179</v>
      </c>
      <c r="S5" s="29">
        <v>70.150000000000006</v>
      </c>
      <c r="T5" s="71">
        <f>172+20</f>
        <v>192</v>
      </c>
      <c r="U5" s="96">
        <v>66.617999999999995</v>
      </c>
      <c r="V5" s="5">
        <f>166+20</f>
        <v>186</v>
      </c>
      <c r="W5" s="29">
        <v>66.349999999999994</v>
      </c>
      <c r="X5" s="5">
        <f>164+20</f>
        <v>184</v>
      </c>
      <c r="Y5" s="29">
        <v>68.245000000000005</v>
      </c>
      <c r="Z5" s="71">
        <f>152+20</f>
        <v>172</v>
      </c>
      <c r="AA5" s="96">
        <v>67.597999999999999</v>
      </c>
      <c r="AB5" s="5">
        <v>176</v>
      </c>
      <c r="AC5" s="240">
        <v>67.891999999999996</v>
      </c>
      <c r="AD5" s="204">
        <v>179</v>
      </c>
      <c r="AE5" s="240">
        <v>68.382000000000005</v>
      </c>
      <c r="AF5" s="204">
        <f>184+20</f>
        <v>204</v>
      </c>
      <c r="AG5" s="240"/>
      <c r="AH5" s="204"/>
    </row>
    <row r="6" spans="1:35" x14ac:dyDescent="0.25">
      <c r="A6" s="104">
        <f>RANK(F6,F$5:F$69,0)</f>
        <v>2</v>
      </c>
      <c r="B6" s="93" t="s">
        <v>70</v>
      </c>
      <c r="C6" s="19">
        <v>2001</v>
      </c>
      <c r="D6" s="36" t="s">
        <v>27</v>
      </c>
      <c r="E6" s="79" t="s">
        <v>71</v>
      </c>
      <c r="F6" s="26">
        <f>L6+P6+R6+T6+AB6+AF6</f>
        <v>1160</v>
      </c>
      <c r="G6" s="38">
        <v>65.784000000000006</v>
      </c>
      <c r="H6" s="150">
        <v>158</v>
      </c>
      <c r="I6" s="149">
        <v>67.647000000000006</v>
      </c>
      <c r="J6" s="62">
        <v>176</v>
      </c>
      <c r="K6" s="149">
        <v>69.528999999999996</v>
      </c>
      <c r="L6" s="62">
        <v>195</v>
      </c>
      <c r="M6" s="149">
        <v>68.191999999999993</v>
      </c>
      <c r="N6" s="62">
        <v>152</v>
      </c>
      <c r="O6" s="27">
        <v>67.058999999999997</v>
      </c>
      <c r="P6" s="4">
        <f>171+20</f>
        <v>191</v>
      </c>
      <c r="Q6" s="30">
        <v>69.265000000000001</v>
      </c>
      <c r="R6" s="4">
        <f>193+20</f>
        <v>213</v>
      </c>
      <c r="S6" s="30">
        <v>70.53</v>
      </c>
      <c r="T6" s="21">
        <f>175+20</f>
        <v>195</v>
      </c>
      <c r="U6" s="27"/>
      <c r="V6" s="4"/>
      <c r="W6" s="30"/>
      <c r="X6" s="4"/>
      <c r="Y6" s="30"/>
      <c r="Z6" s="21"/>
      <c r="AA6" s="27">
        <v>68.626999999999995</v>
      </c>
      <c r="AB6" s="4">
        <v>186</v>
      </c>
      <c r="AC6" s="38">
        <v>67.108000000000004</v>
      </c>
      <c r="AD6" s="62">
        <v>171</v>
      </c>
      <c r="AE6" s="38">
        <v>66.028999999999996</v>
      </c>
      <c r="AF6" s="62">
        <f>160+20</f>
        <v>180</v>
      </c>
      <c r="AG6" s="38"/>
      <c r="AH6" s="62"/>
    </row>
    <row r="7" spans="1:35" x14ac:dyDescent="0.25">
      <c r="A7" s="104">
        <f>RANK(F7,F$5:F$69,0)</f>
        <v>3</v>
      </c>
      <c r="B7" s="93" t="s">
        <v>100</v>
      </c>
      <c r="C7" s="19">
        <v>2002</v>
      </c>
      <c r="D7" s="36" t="s">
        <v>19</v>
      </c>
      <c r="E7" s="106" t="s">
        <v>47</v>
      </c>
      <c r="F7" s="26">
        <f>J7+L7+P7+AB7+AD7+AF7+AH7</f>
        <v>1156</v>
      </c>
      <c r="G7" s="81">
        <v>63.48</v>
      </c>
      <c r="H7" s="150">
        <v>135</v>
      </c>
      <c r="I7" s="149">
        <v>65.900000000000006</v>
      </c>
      <c r="J7" s="62">
        <v>159</v>
      </c>
      <c r="K7" s="149">
        <v>66.176000000000002</v>
      </c>
      <c r="L7" s="62">
        <v>162</v>
      </c>
      <c r="M7" s="149"/>
      <c r="N7" s="62"/>
      <c r="O7" s="27">
        <v>64.167000000000002</v>
      </c>
      <c r="P7" s="4">
        <f>142+20</f>
        <v>162</v>
      </c>
      <c r="Q7" s="30">
        <v>60.9</v>
      </c>
      <c r="R7" s="4">
        <f>109+20</f>
        <v>129</v>
      </c>
      <c r="S7" s="30">
        <v>64.525000000000006</v>
      </c>
      <c r="T7" s="21">
        <f>115+20</f>
        <v>135</v>
      </c>
      <c r="U7" s="27"/>
      <c r="V7" s="4"/>
      <c r="W7" s="30"/>
      <c r="X7" s="4"/>
      <c r="Y7" s="30"/>
      <c r="Z7" s="21"/>
      <c r="AA7" s="27">
        <v>66.813999999999993</v>
      </c>
      <c r="AB7" s="4">
        <v>168</v>
      </c>
      <c r="AC7" s="81">
        <v>68.087999999999994</v>
      </c>
      <c r="AD7" s="62">
        <v>181</v>
      </c>
      <c r="AE7" s="81">
        <v>64.265000000000001</v>
      </c>
      <c r="AF7" s="62">
        <f>143+20</f>
        <v>163</v>
      </c>
      <c r="AG7" s="81">
        <v>66.126999999999995</v>
      </c>
      <c r="AH7" s="62">
        <v>161</v>
      </c>
    </row>
    <row r="8" spans="1:35" x14ac:dyDescent="0.25">
      <c r="A8" s="104">
        <f>RANK(F8,F$5:F$69,0)</f>
        <v>4</v>
      </c>
      <c r="B8" s="105" t="s">
        <v>179</v>
      </c>
      <c r="C8" s="60">
        <v>2000</v>
      </c>
      <c r="D8" s="200" t="s">
        <v>27</v>
      </c>
      <c r="E8" s="106" t="s">
        <v>149</v>
      </c>
      <c r="F8" s="26">
        <f>H8+J8+L8+P8+R8+T8</f>
        <v>1145</v>
      </c>
      <c r="G8" s="81">
        <v>68.823999999999998</v>
      </c>
      <c r="H8" s="150">
        <v>188</v>
      </c>
      <c r="I8" s="149">
        <v>68.626999999999995</v>
      </c>
      <c r="J8" s="62">
        <v>186</v>
      </c>
      <c r="K8" s="149">
        <v>68.471000000000004</v>
      </c>
      <c r="L8" s="62">
        <v>184</v>
      </c>
      <c r="M8" s="149">
        <v>70.507999999999996</v>
      </c>
      <c r="N8" s="62">
        <v>175</v>
      </c>
      <c r="O8" s="27">
        <v>67.695999999999998</v>
      </c>
      <c r="P8" s="4">
        <f>177+20</f>
        <v>197</v>
      </c>
      <c r="Q8" s="30">
        <v>67.8</v>
      </c>
      <c r="R8" s="4">
        <f>178+20</f>
        <v>198</v>
      </c>
      <c r="S8" s="30">
        <v>70.23</v>
      </c>
      <c r="T8" s="21">
        <f>172+20</f>
        <v>192</v>
      </c>
      <c r="U8" s="27"/>
      <c r="V8" s="4"/>
      <c r="W8" s="30"/>
      <c r="X8" s="4"/>
      <c r="Y8" s="30"/>
      <c r="Z8" s="21"/>
      <c r="AA8" s="27"/>
      <c r="AB8" s="4"/>
      <c r="AC8" s="81"/>
      <c r="AD8" s="62"/>
      <c r="AE8" s="81"/>
      <c r="AF8" s="62"/>
      <c r="AG8" s="81"/>
      <c r="AH8" s="62"/>
    </row>
    <row r="9" spans="1:35" x14ac:dyDescent="0.25">
      <c r="A9" s="104">
        <f>RANK(F9,F$5:F$69,0)</f>
        <v>5</v>
      </c>
      <c r="B9" s="93" t="s">
        <v>68</v>
      </c>
      <c r="C9" s="19">
        <v>2002</v>
      </c>
      <c r="D9" s="36" t="s">
        <v>27</v>
      </c>
      <c r="E9" s="79" t="s">
        <v>138</v>
      </c>
      <c r="F9" s="26">
        <f>H9+J9+P9+R9+T9+AB9</f>
        <v>1115</v>
      </c>
      <c r="G9" s="38">
        <v>67.352999999999994</v>
      </c>
      <c r="H9" s="150">
        <v>174</v>
      </c>
      <c r="I9" s="149">
        <v>67.695999999999998</v>
      </c>
      <c r="J9" s="62">
        <v>177</v>
      </c>
      <c r="K9" s="149"/>
      <c r="L9" s="62"/>
      <c r="M9" s="149"/>
      <c r="N9" s="62"/>
      <c r="O9" s="27">
        <v>69.900000000000006</v>
      </c>
      <c r="P9" s="4">
        <f>199+20</f>
        <v>219</v>
      </c>
      <c r="Q9" s="30">
        <v>65.900000000000006</v>
      </c>
      <c r="R9" s="4">
        <f>159+20</f>
        <v>179</v>
      </c>
      <c r="S9" s="30">
        <v>72.02</v>
      </c>
      <c r="T9" s="21">
        <v>190</v>
      </c>
      <c r="U9" s="27"/>
      <c r="V9" s="4"/>
      <c r="W9" s="30"/>
      <c r="X9" s="4"/>
      <c r="Y9" s="30"/>
      <c r="Z9" s="21"/>
      <c r="AA9" s="27">
        <v>67.647000000000006</v>
      </c>
      <c r="AB9" s="4">
        <v>176</v>
      </c>
      <c r="AC9" s="38">
        <v>66.421999999999997</v>
      </c>
      <c r="AD9" s="62">
        <v>164</v>
      </c>
      <c r="AE9" s="38"/>
      <c r="AF9" s="62"/>
      <c r="AG9" s="38"/>
      <c r="AH9" s="62"/>
    </row>
    <row r="10" spans="1:35" x14ac:dyDescent="0.25">
      <c r="A10" s="104">
        <f>RANK(F10,F$5:F$69,0)</f>
        <v>6</v>
      </c>
      <c r="B10" s="93" t="s">
        <v>148</v>
      </c>
      <c r="C10" s="19">
        <v>2003</v>
      </c>
      <c r="D10" s="36" t="s">
        <v>27</v>
      </c>
      <c r="E10" s="79" t="s">
        <v>60</v>
      </c>
      <c r="F10" s="26">
        <f>H10+P10+R10+T10+AB10+AD10</f>
        <v>1056</v>
      </c>
      <c r="G10" s="38">
        <v>67.597999999999999</v>
      </c>
      <c r="H10" s="150">
        <v>176</v>
      </c>
      <c r="I10" s="149"/>
      <c r="J10" s="62"/>
      <c r="K10" s="149"/>
      <c r="L10" s="62"/>
      <c r="M10" s="149"/>
      <c r="N10" s="62"/>
      <c r="O10" s="27">
        <v>65.587999999999994</v>
      </c>
      <c r="P10" s="4">
        <f>156+20</f>
        <v>176</v>
      </c>
      <c r="Q10" s="30">
        <v>64.754999999999995</v>
      </c>
      <c r="R10" s="4">
        <f>148+20</f>
        <v>168</v>
      </c>
      <c r="S10" s="30">
        <v>68.989999999999995</v>
      </c>
      <c r="T10" s="21">
        <f>159+20</f>
        <v>179</v>
      </c>
      <c r="U10" s="27"/>
      <c r="V10" s="4"/>
      <c r="W10" s="30"/>
      <c r="X10" s="4"/>
      <c r="Y10" s="30"/>
      <c r="Z10" s="21"/>
      <c r="AA10" s="27">
        <v>68.332999999999998</v>
      </c>
      <c r="AB10" s="4">
        <v>183</v>
      </c>
      <c r="AC10" s="38">
        <v>67.402000000000001</v>
      </c>
      <c r="AD10" s="62">
        <v>174</v>
      </c>
      <c r="AE10" s="38"/>
      <c r="AF10" s="62"/>
      <c r="AG10" s="38"/>
      <c r="AH10" s="62"/>
    </row>
    <row r="11" spans="1:35" x14ac:dyDescent="0.25">
      <c r="A11" s="104">
        <f>RANK(F11,F$5:F$69,0)</f>
        <v>7</v>
      </c>
      <c r="B11" s="93" t="s">
        <v>192</v>
      </c>
      <c r="C11" s="19">
        <v>2003</v>
      </c>
      <c r="D11" s="36" t="s">
        <v>27</v>
      </c>
      <c r="E11" s="115" t="s">
        <v>84</v>
      </c>
      <c r="F11" s="26">
        <f>J11+L11+V11+X11+AB11+AF11</f>
        <v>1032</v>
      </c>
      <c r="G11" s="81"/>
      <c r="H11" s="150"/>
      <c r="I11" s="149">
        <v>66.900000000000006</v>
      </c>
      <c r="J11" s="62">
        <v>169</v>
      </c>
      <c r="K11" s="149">
        <v>66.676000000000002</v>
      </c>
      <c r="L11" s="62">
        <v>168</v>
      </c>
      <c r="M11" s="149">
        <v>67.924999999999997</v>
      </c>
      <c r="N11" s="62">
        <v>149</v>
      </c>
      <c r="O11" s="27"/>
      <c r="P11" s="4"/>
      <c r="Q11" s="30"/>
      <c r="R11" s="4"/>
      <c r="S11" s="30"/>
      <c r="T11" s="21"/>
      <c r="U11" s="27">
        <v>65.647000000000006</v>
      </c>
      <c r="V11" s="4">
        <f>156+20</f>
        <v>176</v>
      </c>
      <c r="W11" s="30">
        <v>65.265000000000001</v>
      </c>
      <c r="X11" s="4">
        <f>153+20</f>
        <v>173</v>
      </c>
      <c r="Y11" s="30">
        <v>65.435000000000002</v>
      </c>
      <c r="Z11" s="21">
        <f>124+20</f>
        <v>144</v>
      </c>
      <c r="AA11" s="27">
        <v>67.402000000000001</v>
      </c>
      <c r="AB11" s="4">
        <v>174</v>
      </c>
      <c r="AC11" s="81">
        <v>63.381999999999998</v>
      </c>
      <c r="AD11" s="62">
        <v>134</v>
      </c>
      <c r="AE11" s="81">
        <v>65.245000000000005</v>
      </c>
      <c r="AF11" s="62">
        <f>152+20</f>
        <v>172</v>
      </c>
      <c r="AG11" s="81"/>
      <c r="AH11" s="62"/>
    </row>
    <row r="12" spans="1:35" x14ac:dyDescent="0.25">
      <c r="A12" s="104">
        <f>RANK(F12,F$5:F$69,0)</f>
        <v>8</v>
      </c>
      <c r="B12" s="114" t="s">
        <v>89</v>
      </c>
      <c r="C12" s="60">
        <v>2003</v>
      </c>
      <c r="D12" s="116" t="s">
        <v>27</v>
      </c>
      <c r="E12" s="92" t="s">
        <v>81</v>
      </c>
      <c r="F12" s="26">
        <f>H12+J12+L12+AB12+AD12+AF12</f>
        <v>1030</v>
      </c>
      <c r="G12" s="81">
        <v>66.7</v>
      </c>
      <c r="H12" s="150">
        <v>167</v>
      </c>
      <c r="I12" s="149">
        <v>65.930999999999997</v>
      </c>
      <c r="J12" s="62">
        <v>159</v>
      </c>
      <c r="K12" s="149">
        <v>66.206000000000003</v>
      </c>
      <c r="L12" s="62">
        <v>162</v>
      </c>
      <c r="M12" s="149">
        <v>67.766999999999996</v>
      </c>
      <c r="N12" s="62">
        <v>148</v>
      </c>
      <c r="O12" s="27"/>
      <c r="P12" s="4"/>
      <c r="Q12" s="30"/>
      <c r="R12" s="4"/>
      <c r="S12" s="30"/>
      <c r="T12" s="21"/>
      <c r="U12" s="27"/>
      <c r="V12" s="4"/>
      <c r="W12" s="30"/>
      <c r="X12" s="4"/>
      <c r="Y12" s="30"/>
      <c r="Z12" s="21"/>
      <c r="AA12" s="27">
        <v>68.48</v>
      </c>
      <c r="AB12" s="4">
        <v>185</v>
      </c>
      <c r="AC12" s="81">
        <v>68.528999999999996</v>
      </c>
      <c r="AD12" s="62">
        <v>185</v>
      </c>
      <c r="AE12" s="81">
        <v>65.195999999999998</v>
      </c>
      <c r="AF12" s="62">
        <f>152+20</f>
        <v>172</v>
      </c>
      <c r="AG12" s="81"/>
      <c r="AH12" s="62"/>
    </row>
    <row r="13" spans="1:35" x14ac:dyDescent="0.25">
      <c r="A13" s="104">
        <f>RANK(F13,F$5:F$69,0)</f>
        <v>9</v>
      </c>
      <c r="B13" s="93" t="s">
        <v>66</v>
      </c>
      <c r="C13" s="19">
        <v>2000</v>
      </c>
      <c r="D13" s="36" t="s">
        <v>19</v>
      </c>
      <c r="E13" s="92" t="s">
        <v>67</v>
      </c>
      <c r="F13" s="26">
        <f>H13+J13+L13+N13+P13+R13</f>
        <v>985</v>
      </c>
      <c r="G13" s="81">
        <v>63.921999999999997</v>
      </c>
      <c r="H13" s="150">
        <v>139</v>
      </c>
      <c r="I13" s="149">
        <v>67.549000000000007</v>
      </c>
      <c r="J13" s="62">
        <v>175</v>
      </c>
      <c r="K13" s="149">
        <v>67.058999999999997</v>
      </c>
      <c r="L13" s="62">
        <v>171</v>
      </c>
      <c r="M13" s="149">
        <v>67.150000000000006</v>
      </c>
      <c r="N13" s="62">
        <v>142</v>
      </c>
      <c r="O13" s="27">
        <v>67.549000000000007</v>
      </c>
      <c r="P13" s="4">
        <f>175+20</f>
        <v>195</v>
      </c>
      <c r="Q13" s="30">
        <v>64.265000000000001</v>
      </c>
      <c r="R13" s="4">
        <f>143+20</f>
        <v>163</v>
      </c>
      <c r="S13" s="30">
        <v>66.185000000000002</v>
      </c>
      <c r="T13" s="21">
        <v>132</v>
      </c>
      <c r="U13" s="27"/>
      <c r="V13" s="4"/>
      <c r="W13" s="30"/>
      <c r="X13" s="4"/>
      <c r="Y13" s="30"/>
      <c r="Z13" s="21"/>
      <c r="AA13" s="27"/>
      <c r="AB13" s="4"/>
      <c r="AC13" s="81"/>
      <c r="AD13" s="62"/>
      <c r="AE13" s="81"/>
      <c r="AF13" s="62"/>
      <c r="AG13" s="81"/>
      <c r="AH13" s="62"/>
    </row>
    <row r="14" spans="1:35" x14ac:dyDescent="0.25">
      <c r="A14" s="104">
        <f>RANK(F14,F$5:F$69,0)</f>
        <v>10</v>
      </c>
      <c r="B14" s="93" t="s">
        <v>103</v>
      </c>
      <c r="C14" s="19">
        <v>2002</v>
      </c>
      <c r="D14" s="36" t="s">
        <v>19</v>
      </c>
      <c r="E14" s="79" t="s">
        <v>142</v>
      </c>
      <c r="F14" s="26">
        <f>H14+J14+L14+N14+AB14+AD14</f>
        <v>932</v>
      </c>
      <c r="G14" s="38">
        <v>66.813999999999993</v>
      </c>
      <c r="H14" s="150">
        <v>168</v>
      </c>
      <c r="I14" s="149">
        <v>66.569000000000003</v>
      </c>
      <c r="J14" s="62">
        <v>166</v>
      </c>
      <c r="K14" s="149">
        <v>65.087999999999994</v>
      </c>
      <c r="L14" s="62">
        <v>151</v>
      </c>
      <c r="M14" s="149">
        <v>65.075000000000003</v>
      </c>
      <c r="N14" s="62">
        <v>121</v>
      </c>
      <c r="O14" s="27"/>
      <c r="P14" s="4"/>
      <c r="Q14" s="30"/>
      <c r="R14" s="4"/>
      <c r="S14" s="30"/>
      <c r="T14" s="21"/>
      <c r="U14" s="27"/>
      <c r="V14" s="4"/>
      <c r="W14" s="30"/>
      <c r="X14" s="4"/>
      <c r="Y14" s="30"/>
      <c r="Z14" s="21"/>
      <c r="AA14" s="27">
        <v>67.206000000000003</v>
      </c>
      <c r="AB14" s="4">
        <v>172</v>
      </c>
      <c r="AC14" s="38">
        <v>65.441000000000003</v>
      </c>
      <c r="AD14" s="62">
        <v>154</v>
      </c>
      <c r="AE14" s="38"/>
      <c r="AF14" s="62"/>
      <c r="AG14" s="38"/>
      <c r="AH14" s="62"/>
    </row>
    <row r="15" spans="1:35" x14ac:dyDescent="0.25">
      <c r="A15" s="104">
        <f>RANK(F15,F$5:F$69,0)</f>
        <v>11</v>
      </c>
      <c r="B15" s="93" t="s">
        <v>139</v>
      </c>
      <c r="C15" s="19">
        <v>2003</v>
      </c>
      <c r="D15" s="36" t="s">
        <v>27</v>
      </c>
      <c r="E15" s="117" t="s">
        <v>140</v>
      </c>
      <c r="F15" s="26">
        <f>J15+L15+N15+AB15+AF15</f>
        <v>873</v>
      </c>
      <c r="G15" s="38"/>
      <c r="H15" s="150"/>
      <c r="I15" s="149">
        <v>67.010000000000005</v>
      </c>
      <c r="J15" s="62">
        <v>170</v>
      </c>
      <c r="K15" s="149">
        <v>68.087999999999994</v>
      </c>
      <c r="L15" s="62">
        <v>181</v>
      </c>
      <c r="M15" s="149">
        <v>67.533000000000001</v>
      </c>
      <c r="N15" s="62">
        <v>145</v>
      </c>
      <c r="O15" s="27"/>
      <c r="P15" s="4"/>
      <c r="Q15" s="30"/>
      <c r="R15" s="4"/>
      <c r="S15" s="30"/>
      <c r="T15" s="21"/>
      <c r="U15" s="27"/>
      <c r="V15" s="4"/>
      <c r="W15" s="30"/>
      <c r="X15" s="4"/>
      <c r="Y15" s="30"/>
      <c r="Z15" s="21"/>
      <c r="AA15" s="27">
        <v>69.313999999999993</v>
      </c>
      <c r="AB15" s="4">
        <v>193</v>
      </c>
      <c r="AC15" s="38"/>
      <c r="AD15" s="62"/>
      <c r="AE15" s="38">
        <v>66.373000000000005</v>
      </c>
      <c r="AF15" s="62">
        <f>164+20</f>
        <v>184</v>
      </c>
      <c r="AG15" s="38"/>
      <c r="AH15" s="62"/>
    </row>
    <row r="16" spans="1:35" x14ac:dyDescent="0.25">
      <c r="A16" s="104">
        <f>RANK(F16,F$5:F$69,0)</f>
        <v>12</v>
      </c>
      <c r="B16" s="93" t="s">
        <v>103</v>
      </c>
      <c r="C16" s="19">
        <v>2002</v>
      </c>
      <c r="D16" s="36" t="s">
        <v>19</v>
      </c>
      <c r="E16" s="79" t="s">
        <v>182</v>
      </c>
      <c r="F16" s="26">
        <f>H16+J16+AB16+AD16+AF16+AH16</f>
        <v>810</v>
      </c>
      <c r="G16" s="38">
        <v>62.744999999999997</v>
      </c>
      <c r="H16" s="150">
        <v>127</v>
      </c>
      <c r="I16" s="149">
        <v>60.49</v>
      </c>
      <c r="J16" s="62">
        <v>105</v>
      </c>
      <c r="K16" s="149"/>
      <c r="L16" s="62"/>
      <c r="M16" s="149"/>
      <c r="N16" s="62"/>
      <c r="O16" s="27"/>
      <c r="P16" s="4"/>
      <c r="Q16" s="30"/>
      <c r="R16" s="4"/>
      <c r="S16" s="30"/>
      <c r="T16" s="21"/>
      <c r="U16" s="27"/>
      <c r="V16" s="4"/>
      <c r="W16" s="30"/>
      <c r="X16" s="4"/>
      <c r="Y16" s="30"/>
      <c r="Z16" s="21"/>
      <c r="AA16" s="27">
        <v>64.656999999999996</v>
      </c>
      <c r="AB16" s="4">
        <v>147</v>
      </c>
      <c r="AC16" s="38">
        <v>64.902000000000001</v>
      </c>
      <c r="AD16" s="62">
        <v>149</v>
      </c>
      <c r="AE16" s="38">
        <v>60.588000000000001</v>
      </c>
      <c r="AF16" s="62">
        <f>106+20</f>
        <v>126</v>
      </c>
      <c r="AG16" s="38">
        <v>65.587999999999994</v>
      </c>
      <c r="AH16" s="62">
        <v>156</v>
      </c>
    </row>
    <row r="17" spans="1:34" x14ac:dyDescent="0.25">
      <c r="A17" s="104">
        <f>RANK(F17,F$5:F$69,0)</f>
        <v>13</v>
      </c>
      <c r="B17" s="93" t="s">
        <v>150</v>
      </c>
      <c r="C17" s="19">
        <v>2004</v>
      </c>
      <c r="D17" s="36" t="s">
        <v>27</v>
      </c>
      <c r="E17" s="79" t="s">
        <v>51</v>
      </c>
      <c r="F17" s="26">
        <f>H17+J17+L17+N17+AB17</f>
        <v>791</v>
      </c>
      <c r="G17" s="38">
        <v>66.715999999999994</v>
      </c>
      <c r="H17" s="150">
        <v>167</v>
      </c>
      <c r="I17" s="149">
        <v>64.950999999999993</v>
      </c>
      <c r="J17" s="62">
        <v>149</v>
      </c>
      <c r="K17" s="149">
        <v>67.352999999999994</v>
      </c>
      <c r="L17" s="62">
        <v>173</v>
      </c>
      <c r="M17" s="149">
        <v>66.316999999999993</v>
      </c>
      <c r="N17" s="62">
        <v>133</v>
      </c>
      <c r="O17" s="27"/>
      <c r="P17" s="4"/>
      <c r="Q17" s="30"/>
      <c r="R17" s="4"/>
      <c r="S17" s="30"/>
      <c r="T17" s="21"/>
      <c r="U17" s="27"/>
      <c r="V17" s="4"/>
      <c r="W17" s="30"/>
      <c r="X17" s="4"/>
      <c r="Y17" s="30"/>
      <c r="Z17" s="21"/>
      <c r="AA17" s="27">
        <v>66.863</v>
      </c>
      <c r="AB17" s="4">
        <v>169</v>
      </c>
      <c r="AC17" s="38"/>
      <c r="AD17" s="62"/>
      <c r="AE17" s="38"/>
      <c r="AF17" s="62"/>
      <c r="AG17" s="38"/>
      <c r="AH17" s="62"/>
    </row>
    <row r="18" spans="1:34" x14ac:dyDescent="0.25">
      <c r="A18" s="104">
        <f>RANK(F18,F$5:F$69,0)</f>
        <v>14</v>
      </c>
      <c r="B18" s="105" t="s">
        <v>148</v>
      </c>
      <c r="C18" s="60">
        <v>2003</v>
      </c>
      <c r="D18" s="61" t="s">
        <v>19</v>
      </c>
      <c r="E18" s="79" t="s">
        <v>169</v>
      </c>
      <c r="F18" s="26">
        <f>H18+J18+AB18+AD18+AF18+AH18</f>
        <v>775</v>
      </c>
      <c r="G18" s="81">
        <v>61.470999999999997</v>
      </c>
      <c r="H18" s="150">
        <v>115</v>
      </c>
      <c r="I18" s="149">
        <v>58.088000000000001</v>
      </c>
      <c r="J18" s="62">
        <v>91</v>
      </c>
      <c r="K18" s="149"/>
      <c r="L18" s="62"/>
      <c r="M18" s="149"/>
      <c r="N18" s="62"/>
      <c r="O18" s="27"/>
      <c r="P18" s="4"/>
      <c r="Q18" s="30"/>
      <c r="R18" s="4"/>
      <c r="S18" s="30"/>
      <c r="T18" s="21"/>
      <c r="U18" s="27"/>
      <c r="V18" s="4"/>
      <c r="W18" s="30"/>
      <c r="X18" s="4"/>
      <c r="Y18" s="30"/>
      <c r="Z18" s="21"/>
      <c r="AA18" s="27">
        <v>67.352999999999994</v>
      </c>
      <c r="AB18" s="4">
        <v>174</v>
      </c>
      <c r="AC18" s="81">
        <v>64.852999999999994</v>
      </c>
      <c r="AD18" s="62">
        <v>149</v>
      </c>
      <c r="AE18" s="81">
        <v>60.343000000000004</v>
      </c>
      <c r="AF18" s="62">
        <f>103+20</f>
        <v>123</v>
      </c>
      <c r="AG18" s="81">
        <v>62.304000000000002</v>
      </c>
      <c r="AH18" s="62">
        <v>123</v>
      </c>
    </row>
    <row r="19" spans="1:34" x14ac:dyDescent="0.25">
      <c r="A19" s="104">
        <f>RANK(F19,F$5:F$69,0)</f>
        <v>15</v>
      </c>
      <c r="B19" s="93" t="s">
        <v>64</v>
      </c>
      <c r="C19" s="19">
        <v>2003</v>
      </c>
      <c r="D19" s="36" t="s">
        <v>27</v>
      </c>
      <c r="E19" s="79" t="s">
        <v>65</v>
      </c>
      <c r="F19" s="26">
        <f>H19+L19+N19+AB19</f>
        <v>684</v>
      </c>
      <c r="G19" s="81">
        <v>66.813999999999993</v>
      </c>
      <c r="H19" s="150">
        <v>168</v>
      </c>
      <c r="I19" s="149"/>
      <c r="J19" s="62"/>
      <c r="K19" s="149">
        <v>68.176000000000002</v>
      </c>
      <c r="L19" s="62">
        <v>182</v>
      </c>
      <c r="M19" s="149">
        <v>68.783000000000001</v>
      </c>
      <c r="N19" s="62">
        <v>158</v>
      </c>
      <c r="O19" s="27"/>
      <c r="P19" s="4"/>
      <c r="Q19" s="30"/>
      <c r="R19" s="4"/>
      <c r="S19" s="30"/>
      <c r="T19" s="21"/>
      <c r="U19" s="27"/>
      <c r="V19" s="4"/>
      <c r="W19" s="30"/>
      <c r="X19" s="4"/>
      <c r="Y19" s="30"/>
      <c r="Z19" s="21"/>
      <c r="AA19" s="27">
        <v>67.597999999999999</v>
      </c>
      <c r="AB19" s="4">
        <v>176</v>
      </c>
      <c r="AC19" s="81"/>
      <c r="AD19" s="62"/>
      <c r="AE19" s="81"/>
      <c r="AF19" s="62"/>
      <c r="AG19" s="81"/>
      <c r="AH19" s="62"/>
    </row>
    <row r="20" spans="1:34" x14ac:dyDescent="0.25">
      <c r="A20" s="104">
        <f>RANK(F20,F$5:F$69,0)</f>
        <v>16</v>
      </c>
      <c r="B20" s="114" t="s">
        <v>148</v>
      </c>
      <c r="C20" s="60">
        <v>2003</v>
      </c>
      <c r="D20" s="116" t="s">
        <v>19</v>
      </c>
      <c r="E20" s="79" t="s">
        <v>90</v>
      </c>
      <c r="F20" s="26">
        <f>J20+L20+N20+AB20+AD20</f>
        <v>668</v>
      </c>
      <c r="G20" s="81"/>
      <c r="H20" s="150"/>
      <c r="I20" s="149">
        <v>63.137</v>
      </c>
      <c r="J20" s="62">
        <v>131</v>
      </c>
      <c r="K20" s="149">
        <v>61.470999999999997</v>
      </c>
      <c r="L20" s="62">
        <v>115</v>
      </c>
      <c r="M20" s="149">
        <v>61.95</v>
      </c>
      <c r="N20" s="62">
        <v>89</v>
      </c>
      <c r="O20" s="27"/>
      <c r="P20" s="4"/>
      <c r="Q20" s="30"/>
      <c r="R20" s="4"/>
      <c r="S20" s="30"/>
      <c r="T20" s="21"/>
      <c r="U20" s="27"/>
      <c r="V20" s="4"/>
      <c r="W20" s="30"/>
      <c r="X20" s="4"/>
      <c r="Y20" s="30"/>
      <c r="Z20" s="21"/>
      <c r="AA20" s="27">
        <v>67.695999999999998</v>
      </c>
      <c r="AB20" s="4">
        <v>177</v>
      </c>
      <c r="AC20" s="81">
        <v>65.587999999999994</v>
      </c>
      <c r="AD20" s="62">
        <v>156</v>
      </c>
      <c r="AE20" s="81"/>
      <c r="AF20" s="62"/>
      <c r="AG20" s="81"/>
      <c r="AH20" s="62"/>
    </row>
    <row r="21" spans="1:34" x14ac:dyDescent="0.25">
      <c r="A21" s="104">
        <f>RANK(F21,F$5:F$69,0)</f>
        <v>17</v>
      </c>
      <c r="B21" s="93" t="s">
        <v>144</v>
      </c>
      <c r="C21" s="19">
        <v>2004</v>
      </c>
      <c r="D21" s="36" t="s">
        <v>27</v>
      </c>
      <c r="E21" s="79" t="s">
        <v>79</v>
      </c>
      <c r="F21" s="26">
        <f>J21+L21+N21+AB21</f>
        <v>662</v>
      </c>
      <c r="G21" s="38"/>
      <c r="H21" s="150"/>
      <c r="I21" s="149">
        <v>67.745000000000005</v>
      </c>
      <c r="J21" s="62">
        <v>177</v>
      </c>
      <c r="K21" s="149">
        <v>67.412000000000006</v>
      </c>
      <c r="L21" s="62">
        <v>174</v>
      </c>
      <c r="M21" s="149">
        <v>68.082999999999998</v>
      </c>
      <c r="N21" s="62">
        <v>151</v>
      </c>
      <c r="O21" s="27"/>
      <c r="P21" s="4"/>
      <c r="Q21" s="30"/>
      <c r="R21" s="4"/>
      <c r="S21" s="30"/>
      <c r="T21" s="21"/>
      <c r="U21" s="27"/>
      <c r="V21" s="4"/>
      <c r="W21" s="30"/>
      <c r="X21" s="4"/>
      <c r="Y21" s="30"/>
      <c r="Z21" s="21"/>
      <c r="AA21" s="27">
        <v>66.028999999999996</v>
      </c>
      <c r="AB21" s="4">
        <v>160</v>
      </c>
      <c r="AC21" s="38"/>
      <c r="AD21" s="62"/>
      <c r="AE21" s="38"/>
      <c r="AF21" s="62"/>
      <c r="AG21" s="38"/>
      <c r="AH21" s="62"/>
    </row>
    <row r="22" spans="1:34" x14ac:dyDescent="0.25">
      <c r="A22" s="104">
        <f>RANK(F22,F$5:F$69,0)</f>
        <v>17</v>
      </c>
      <c r="B22" s="93" t="s">
        <v>181</v>
      </c>
      <c r="C22" s="19">
        <v>2000</v>
      </c>
      <c r="D22" s="36" t="s">
        <v>27</v>
      </c>
      <c r="E22" s="79" t="s">
        <v>69</v>
      </c>
      <c r="F22" s="26">
        <f>H22+J22+L22+N22+AD22</f>
        <v>662</v>
      </c>
      <c r="G22" s="38">
        <v>62.01</v>
      </c>
      <c r="H22" s="150">
        <v>120</v>
      </c>
      <c r="I22" s="149">
        <v>62.451000000000001</v>
      </c>
      <c r="J22" s="62">
        <v>121</v>
      </c>
      <c r="K22" s="149">
        <v>64.323999999999998</v>
      </c>
      <c r="L22" s="62">
        <v>143</v>
      </c>
      <c r="M22" s="149">
        <v>64.266999999999996</v>
      </c>
      <c r="N22" s="62">
        <v>113</v>
      </c>
      <c r="O22" s="27"/>
      <c r="P22" s="4"/>
      <c r="Q22" s="30"/>
      <c r="R22" s="4"/>
      <c r="S22" s="30"/>
      <c r="T22" s="21"/>
      <c r="U22" s="27"/>
      <c r="V22" s="4"/>
      <c r="W22" s="30"/>
      <c r="X22" s="4"/>
      <c r="Y22" s="30"/>
      <c r="Z22" s="21"/>
      <c r="AA22" s="27"/>
      <c r="AB22" s="4"/>
      <c r="AC22" s="38">
        <v>66.52</v>
      </c>
      <c r="AD22" s="62">
        <v>165</v>
      </c>
      <c r="AE22" s="38"/>
      <c r="AF22" s="62"/>
      <c r="AG22" s="38"/>
      <c r="AH22" s="62"/>
    </row>
    <row r="23" spans="1:34" x14ac:dyDescent="0.25">
      <c r="A23" s="104">
        <f>RANK(F23,F$5:F$69,0)</f>
        <v>19</v>
      </c>
      <c r="B23" s="93" t="s">
        <v>132</v>
      </c>
      <c r="C23" s="19">
        <v>2004</v>
      </c>
      <c r="D23" s="36" t="s">
        <v>27</v>
      </c>
      <c r="E23" s="79" t="s">
        <v>151</v>
      </c>
      <c r="F23" s="26">
        <f>H23+J23+L23+AB23</f>
        <v>628</v>
      </c>
      <c r="G23" s="38">
        <v>65.489999999999995</v>
      </c>
      <c r="H23" s="150">
        <v>155</v>
      </c>
      <c r="I23" s="149">
        <v>65.539000000000001</v>
      </c>
      <c r="J23" s="62">
        <v>155</v>
      </c>
      <c r="K23" s="149">
        <v>64.882000000000005</v>
      </c>
      <c r="L23" s="62">
        <v>149</v>
      </c>
      <c r="M23" s="149"/>
      <c r="N23" s="62"/>
      <c r="O23" s="27"/>
      <c r="P23" s="4"/>
      <c r="Q23" s="30"/>
      <c r="R23" s="4"/>
      <c r="S23" s="30"/>
      <c r="T23" s="21"/>
      <c r="U23" s="27"/>
      <c r="V23" s="4"/>
      <c r="W23" s="30"/>
      <c r="X23" s="4"/>
      <c r="Y23" s="30"/>
      <c r="Z23" s="21"/>
      <c r="AA23" s="27">
        <v>66.863</v>
      </c>
      <c r="AB23" s="4">
        <v>169</v>
      </c>
      <c r="AC23" s="38"/>
      <c r="AD23" s="62"/>
      <c r="AE23" s="38"/>
      <c r="AF23" s="62"/>
      <c r="AG23" s="38"/>
      <c r="AH23" s="62"/>
    </row>
    <row r="24" spans="1:34" x14ac:dyDescent="0.25">
      <c r="A24" s="104">
        <f>RANK(F24,F$5:F$69,0)</f>
        <v>20</v>
      </c>
      <c r="B24" s="114" t="s">
        <v>89</v>
      </c>
      <c r="C24" s="19">
        <v>2003</v>
      </c>
      <c r="D24" s="36" t="s">
        <v>27</v>
      </c>
      <c r="E24" s="92" t="s">
        <v>84</v>
      </c>
      <c r="F24" s="26">
        <f>H24+P24+R24+T24</f>
        <v>611</v>
      </c>
      <c r="G24" s="81">
        <v>65.441000000000003</v>
      </c>
      <c r="H24" s="150">
        <v>154</v>
      </c>
      <c r="I24" s="149"/>
      <c r="J24" s="62"/>
      <c r="K24" s="149"/>
      <c r="L24" s="62"/>
      <c r="M24" s="149"/>
      <c r="N24" s="62"/>
      <c r="O24" s="27">
        <v>64.852999999999994</v>
      </c>
      <c r="P24" s="4">
        <f>149+20</f>
        <v>169</v>
      </c>
      <c r="Q24" s="30">
        <v>65.049000000000007</v>
      </c>
      <c r="R24" s="4">
        <f>150+20</f>
        <v>170</v>
      </c>
      <c r="S24" s="30">
        <v>62.844999999999999</v>
      </c>
      <c r="T24" s="21">
        <f>98+20</f>
        <v>118</v>
      </c>
      <c r="U24" s="27"/>
      <c r="V24" s="4"/>
      <c r="W24" s="30"/>
      <c r="X24" s="4"/>
      <c r="Y24" s="30"/>
      <c r="Z24" s="21"/>
      <c r="AA24" s="27"/>
      <c r="AB24" s="4"/>
      <c r="AC24" s="81"/>
      <c r="AD24" s="62"/>
      <c r="AE24" s="81"/>
      <c r="AF24" s="62"/>
      <c r="AG24" s="81"/>
      <c r="AH24" s="62"/>
    </row>
    <row r="25" spans="1:34" x14ac:dyDescent="0.25">
      <c r="A25" s="104">
        <f>RANK(F25,F$5:F$69,0)</f>
        <v>21</v>
      </c>
      <c r="B25" s="93" t="s">
        <v>66</v>
      </c>
      <c r="C25" s="19">
        <v>2000</v>
      </c>
      <c r="D25" s="36" t="s">
        <v>19</v>
      </c>
      <c r="E25" s="79" t="s">
        <v>75</v>
      </c>
      <c r="F25" s="26">
        <f>H25+J25+L25+AB25</f>
        <v>606</v>
      </c>
      <c r="G25" s="81">
        <v>62.99</v>
      </c>
      <c r="H25" s="150">
        <v>129</v>
      </c>
      <c r="I25" s="149">
        <v>64.117999999999995</v>
      </c>
      <c r="J25" s="62">
        <v>141</v>
      </c>
      <c r="K25" s="149">
        <v>66.441000000000003</v>
      </c>
      <c r="L25" s="62">
        <v>164</v>
      </c>
      <c r="M25" s="149"/>
      <c r="N25" s="62"/>
      <c r="O25" s="27"/>
      <c r="P25" s="4"/>
      <c r="Q25" s="30"/>
      <c r="R25" s="4"/>
      <c r="S25" s="30"/>
      <c r="T25" s="21"/>
      <c r="U25" s="27"/>
      <c r="V25" s="4"/>
      <c r="W25" s="30"/>
      <c r="X25" s="4"/>
      <c r="Y25" s="30"/>
      <c r="Z25" s="21"/>
      <c r="AA25" s="27">
        <v>67.206000000000003</v>
      </c>
      <c r="AB25" s="4">
        <v>172</v>
      </c>
      <c r="AC25" s="81"/>
      <c r="AD25" s="62"/>
      <c r="AE25" s="81"/>
      <c r="AF25" s="62"/>
      <c r="AG25" s="81"/>
      <c r="AH25" s="62"/>
    </row>
    <row r="26" spans="1:34" x14ac:dyDescent="0.25">
      <c r="A26" s="104">
        <f>RANK(F26,F$5:F$69,0)</f>
        <v>22</v>
      </c>
      <c r="B26" s="93" t="s">
        <v>179</v>
      </c>
      <c r="C26" s="19">
        <v>1999</v>
      </c>
      <c r="D26" s="36" t="s">
        <v>27</v>
      </c>
      <c r="E26" s="79" t="s">
        <v>63</v>
      </c>
      <c r="F26" s="26">
        <f>H26+J26+L26</f>
        <v>496</v>
      </c>
      <c r="G26" s="81">
        <v>63.137</v>
      </c>
      <c r="H26" s="150">
        <v>131</v>
      </c>
      <c r="I26" s="149">
        <v>67.745000000000005</v>
      </c>
      <c r="J26" s="62">
        <v>177</v>
      </c>
      <c r="K26" s="149">
        <v>68.823999999999998</v>
      </c>
      <c r="L26" s="62">
        <v>188</v>
      </c>
      <c r="M26" s="149"/>
      <c r="N26" s="62"/>
      <c r="O26" s="27"/>
      <c r="P26" s="4"/>
      <c r="Q26" s="30"/>
      <c r="R26" s="4"/>
      <c r="S26" s="30"/>
      <c r="T26" s="21"/>
      <c r="U26" s="27"/>
      <c r="V26" s="4"/>
      <c r="W26" s="30"/>
      <c r="X26" s="4"/>
      <c r="Y26" s="30"/>
      <c r="Z26" s="21"/>
      <c r="AA26" s="27"/>
      <c r="AB26" s="4"/>
      <c r="AC26" s="81"/>
      <c r="AD26" s="62"/>
      <c r="AE26" s="81"/>
      <c r="AF26" s="62"/>
      <c r="AG26" s="81"/>
      <c r="AH26" s="62"/>
    </row>
    <row r="27" spans="1:34" x14ac:dyDescent="0.25">
      <c r="A27" s="104">
        <f>RANK(F27,F$5:F$69,0)</f>
        <v>23</v>
      </c>
      <c r="B27" s="93" t="s">
        <v>89</v>
      </c>
      <c r="C27" s="19">
        <v>2003</v>
      </c>
      <c r="D27" s="36" t="s">
        <v>27</v>
      </c>
      <c r="E27" s="92" t="s">
        <v>83</v>
      </c>
      <c r="F27" s="26">
        <f>H27+J27+L27</f>
        <v>483</v>
      </c>
      <c r="G27" s="38">
        <v>65.784000000000006</v>
      </c>
      <c r="H27" s="150">
        <v>158</v>
      </c>
      <c r="I27" s="149">
        <v>66.224999999999994</v>
      </c>
      <c r="J27" s="62">
        <v>162</v>
      </c>
      <c r="K27" s="149">
        <v>66.293999999999997</v>
      </c>
      <c r="L27" s="62">
        <v>163</v>
      </c>
      <c r="M27" s="149"/>
      <c r="N27" s="62"/>
      <c r="O27" s="27"/>
      <c r="P27" s="4"/>
      <c r="Q27" s="30"/>
      <c r="R27" s="4"/>
      <c r="S27" s="30"/>
      <c r="T27" s="21"/>
      <c r="U27" s="27"/>
      <c r="V27" s="4"/>
      <c r="W27" s="30"/>
      <c r="X27" s="4"/>
      <c r="Y27" s="30"/>
      <c r="Z27" s="21"/>
      <c r="AA27" s="27"/>
      <c r="AB27" s="4"/>
      <c r="AC27" s="38"/>
      <c r="AD27" s="62"/>
      <c r="AE27" s="38"/>
      <c r="AF27" s="62"/>
      <c r="AG27" s="38"/>
      <c r="AH27" s="62"/>
    </row>
    <row r="28" spans="1:34" x14ac:dyDescent="0.25">
      <c r="A28" s="104">
        <f>RANK(F28,F$5:F$69,0)</f>
        <v>24</v>
      </c>
      <c r="B28" s="114" t="s">
        <v>198</v>
      </c>
      <c r="C28" s="60">
        <v>2004</v>
      </c>
      <c r="D28" s="116" t="s">
        <v>27</v>
      </c>
      <c r="E28" s="79" t="s">
        <v>199</v>
      </c>
      <c r="F28" s="26">
        <f>J28+L28+AB28</f>
        <v>449</v>
      </c>
      <c r="G28" s="38"/>
      <c r="H28" s="150"/>
      <c r="I28" s="149">
        <v>65</v>
      </c>
      <c r="J28" s="62">
        <v>150</v>
      </c>
      <c r="K28" s="149">
        <v>66.087999999999994</v>
      </c>
      <c r="L28" s="62">
        <v>161</v>
      </c>
      <c r="M28" s="149"/>
      <c r="N28" s="62"/>
      <c r="O28" s="27"/>
      <c r="P28" s="4"/>
      <c r="Q28" s="30"/>
      <c r="R28" s="4"/>
      <c r="S28" s="30"/>
      <c r="T28" s="21"/>
      <c r="U28" s="27"/>
      <c r="V28" s="4"/>
      <c r="W28" s="30"/>
      <c r="X28" s="4"/>
      <c r="Y28" s="30"/>
      <c r="Z28" s="21"/>
      <c r="AA28" s="27">
        <v>63.823999999999998</v>
      </c>
      <c r="AB28" s="4">
        <v>138</v>
      </c>
      <c r="AC28" s="38"/>
      <c r="AD28" s="62"/>
      <c r="AE28" s="38"/>
      <c r="AF28" s="62"/>
      <c r="AG28" s="38"/>
      <c r="AH28" s="62"/>
    </row>
    <row r="29" spans="1:34" x14ac:dyDescent="0.25">
      <c r="A29" s="104">
        <f>RANK(F29,F$5:F$69,0)</f>
        <v>25</v>
      </c>
      <c r="B29" s="93" t="s">
        <v>123</v>
      </c>
      <c r="C29" s="19">
        <v>2004</v>
      </c>
      <c r="D29" s="36" t="s">
        <v>19</v>
      </c>
      <c r="E29" s="79" t="s">
        <v>143</v>
      </c>
      <c r="F29" s="26">
        <f>J29+L29+AB29</f>
        <v>401</v>
      </c>
      <c r="G29" s="38"/>
      <c r="H29" s="150"/>
      <c r="I29" s="149">
        <v>62.941000000000003</v>
      </c>
      <c r="J29" s="62">
        <v>129</v>
      </c>
      <c r="K29" s="149">
        <v>64.5</v>
      </c>
      <c r="L29" s="62">
        <v>145</v>
      </c>
      <c r="M29" s="149"/>
      <c r="N29" s="62"/>
      <c r="O29" s="27"/>
      <c r="P29" s="4"/>
      <c r="Q29" s="30"/>
      <c r="R29" s="4"/>
      <c r="S29" s="30"/>
      <c r="T29" s="21"/>
      <c r="U29" s="27"/>
      <c r="V29" s="4"/>
      <c r="W29" s="30"/>
      <c r="X29" s="4"/>
      <c r="Y29" s="30"/>
      <c r="Z29" s="21"/>
      <c r="AA29" s="27">
        <v>62.695999999999998</v>
      </c>
      <c r="AB29" s="4">
        <v>127</v>
      </c>
      <c r="AC29" s="38"/>
      <c r="AD29" s="62"/>
      <c r="AE29" s="38"/>
      <c r="AF29" s="62"/>
      <c r="AG29" s="38"/>
      <c r="AH29" s="62"/>
    </row>
    <row r="30" spans="1:34" x14ac:dyDescent="0.25">
      <c r="A30" s="104">
        <f>RANK(F30,F$5:F$69,0)</f>
        <v>26</v>
      </c>
      <c r="B30" s="93" t="s">
        <v>100</v>
      </c>
      <c r="C30" s="19">
        <v>2002</v>
      </c>
      <c r="D30" s="36" t="s">
        <v>19</v>
      </c>
      <c r="E30" s="79" t="s">
        <v>23</v>
      </c>
      <c r="F30" s="26">
        <f>J30+L30</f>
        <v>399</v>
      </c>
      <c r="G30" s="81"/>
      <c r="H30" s="150"/>
      <c r="I30" s="149">
        <v>69.167000000000002</v>
      </c>
      <c r="J30" s="62">
        <v>192</v>
      </c>
      <c r="K30" s="149">
        <v>70.734999999999999</v>
      </c>
      <c r="L30" s="62">
        <v>207</v>
      </c>
      <c r="M30" s="149"/>
      <c r="N30" s="62"/>
      <c r="O30" s="27"/>
      <c r="P30" s="4"/>
      <c r="Q30" s="30"/>
      <c r="R30" s="4"/>
      <c r="S30" s="30"/>
      <c r="T30" s="21"/>
      <c r="U30" s="27"/>
      <c r="V30" s="4"/>
      <c r="W30" s="30"/>
      <c r="X30" s="4"/>
      <c r="Y30" s="30"/>
      <c r="Z30" s="21"/>
      <c r="AA30" s="27"/>
      <c r="AB30" s="4"/>
      <c r="AC30" s="81"/>
      <c r="AD30" s="62"/>
      <c r="AE30" s="81"/>
      <c r="AF30" s="62"/>
      <c r="AG30" s="81"/>
      <c r="AH30" s="62"/>
    </row>
    <row r="31" spans="1:34" x14ac:dyDescent="0.25">
      <c r="A31" s="104">
        <f>RANK(F31,F$5:F$69,0)</f>
        <v>27</v>
      </c>
      <c r="B31" s="93" t="s">
        <v>136</v>
      </c>
      <c r="C31" s="19">
        <v>2005</v>
      </c>
      <c r="D31" s="36" t="s">
        <v>27</v>
      </c>
      <c r="E31" s="79" t="s">
        <v>145</v>
      </c>
      <c r="F31" s="26">
        <f>H31+J31+L31</f>
        <v>391</v>
      </c>
      <c r="G31" s="38">
        <v>62.01</v>
      </c>
      <c r="H31" s="150">
        <v>120</v>
      </c>
      <c r="I31" s="149">
        <v>64.460999999999999</v>
      </c>
      <c r="J31" s="62">
        <v>146</v>
      </c>
      <c r="K31" s="149">
        <v>62.529000000000003</v>
      </c>
      <c r="L31" s="62">
        <v>125</v>
      </c>
      <c r="M31" s="149"/>
      <c r="N31" s="62"/>
      <c r="O31" s="27"/>
      <c r="P31" s="4"/>
      <c r="Q31" s="30"/>
      <c r="R31" s="4"/>
      <c r="S31" s="30"/>
      <c r="T31" s="21"/>
      <c r="U31" s="27"/>
      <c r="V31" s="4"/>
      <c r="W31" s="30"/>
      <c r="X31" s="4"/>
      <c r="Y31" s="30"/>
      <c r="Z31" s="21"/>
      <c r="AA31" s="27"/>
      <c r="AB31" s="4"/>
      <c r="AC31" s="38"/>
      <c r="AD31" s="62"/>
      <c r="AE31" s="38"/>
      <c r="AF31" s="62"/>
      <c r="AG31" s="38"/>
      <c r="AH31" s="62"/>
    </row>
    <row r="32" spans="1:34" x14ac:dyDescent="0.25">
      <c r="A32" s="104">
        <f>RANK(F32,F$5:F$69,0)</f>
        <v>28</v>
      </c>
      <c r="B32" s="93" t="s">
        <v>116</v>
      </c>
      <c r="C32" s="19">
        <v>2003</v>
      </c>
      <c r="D32" s="36" t="s">
        <v>27</v>
      </c>
      <c r="E32" s="79" t="s">
        <v>195</v>
      </c>
      <c r="F32" s="26">
        <f>J32+L32+N32</f>
        <v>364</v>
      </c>
      <c r="G32" s="81"/>
      <c r="H32" s="150"/>
      <c r="I32" s="149">
        <v>63.529000000000003</v>
      </c>
      <c r="J32" s="62">
        <v>135</v>
      </c>
      <c r="K32" s="149">
        <v>63.411999999999999</v>
      </c>
      <c r="L32" s="62">
        <v>134</v>
      </c>
      <c r="M32" s="149">
        <v>62.533000000000001</v>
      </c>
      <c r="N32" s="62">
        <v>95</v>
      </c>
      <c r="O32" s="27"/>
      <c r="P32" s="4"/>
      <c r="Q32" s="30"/>
      <c r="R32" s="4"/>
      <c r="S32" s="30"/>
      <c r="T32" s="21"/>
      <c r="U32" s="27"/>
      <c r="V32" s="4"/>
      <c r="W32" s="30"/>
      <c r="X32" s="4"/>
      <c r="Y32" s="30"/>
      <c r="Z32" s="21"/>
      <c r="AA32" s="27"/>
      <c r="AB32" s="4"/>
      <c r="AC32" s="81"/>
      <c r="AD32" s="62"/>
      <c r="AE32" s="81"/>
      <c r="AF32" s="62"/>
      <c r="AG32" s="81"/>
      <c r="AH32" s="62"/>
    </row>
    <row r="33" spans="1:34" x14ac:dyDescent="0.25">
      <c r="A33" s="104">
        <f>RANK(F33,F$5:F$69,0)</f>
        <v>29</v>
      </c>
      <c r="B33" s="93" t="s">
        <v>97</v>
      </c>
      <c r="C33" s="19">
        <v>2004</v>
      </c>
      <c r="D33" s="36" t="s">
        <v>19</v>
      </c>
      <c r="E33" s="117" t="s">
        <v>232</v>
      </c>
      <c r="F33" s="26">
        <f>AB33+AD33</f>
        <v>333</v>
      </c>
      <c r="G33" s="81"/>
      <c r="H33" s="150"/>
      <c r="I33" s="149"/>
      <c r="J33" s="62"/>
      <c r="K33" s="149"/>
      <c r="L33" s="62"/>
      <c r="M33" s="149"/>
      <c r="N33" s="62"/>
      <c r="O33" s="27"/>
      <c r="P33" s="4"/>
      <c r="Q33" s="30"/>
      <c r="R33" s="4"/>
      <c r="S33" s="30"/>
      <c r="T33" s="21"/>
      <c r="U33" s="27"/>
      <c r="V33" s="4"/>
      <c r="W33" s="30"/>
      <c r="X33" s="4"/>
      <c r="Y33" s="30"/>
      <c r="Z33" s="21"/>
      <c r="AA33" s="27">
        <v>66.569000000000003</v>
      </c>
      <c r="AB33" s="4">
        <v>166</v>
      </c>
      <c r="AC33" s="81">
        <v>66.667000000000002</v>
      </c>
      <c r="AD33" s="62">
        <v>167</v>
      </c>
      <c r="AE33" s="81"/>
      <c r="AF33" s="62"/>
      <c r="AG33" s="81"/>
      <c r="AH33" s="62"/>
    </row>
    <row r="34" spans="1:34" x14ac:dyDescent="0.25">
      <c r="A34" s="104">
        <f>RANK(F34,F$5:F$69,0)</f>
        <v>30</v>
      </c>
      <c r="B34" s="7" t="s">
        <v>94</v>
      </c>
      <c r="C34" s="201">
        <v>2003</v>
      </c>
      <c r="D34" s="201" t="s">
        <v>27</v>
      </c>
      <c r="E34" s="6" t="s">
        <v>200</v>
      </c>
      <c r="F34" s="26">
        <f>J34+L34+N34</f>
        <v>329</v>
      </c>
      <c r="G34" s="81"/>
      <c r="H34" s="150"/>
      <c r="I34" s="149">
        <v>63.234999999999999</v>
      </c>
      <c r="J34" s="62">
        <v>132</v>
      </c>
      <c r="K34" s="149">
        <v>60.618000000000002</v>
      </c>
      <c r="L34" s="62">
        <v>108</v>
      </c>
      <c r="M34" s="149">
        <v>61.875</v>
      </c>
      <c r="N34" s="62">
        <v>89</v>
      </c>
      <c r="O34" s="27"/>
      <c r="P34" s="4"/>
      <c r="Q34" s="30"/>
      <c r="R34" s="4"/>
      <c r="S34" s="30"/>
      <c r="T34" s="21"/>
      <c r="U34" s="27"/>
      <c r="V34" s="4"/>
      <c r="W34" s="30"/>
      <c r="X34" s="4"/>
      <c r="Y34" s="30"/>
      <c r="Z34" s="21"/>
      <c r="AA34" s="27"/>
      <c r="AB34" s="4"/>
      <c r="AC34" s="81"/>
      <c r="AD34" s="62"/>
      <c r="AE34" s="81"/>
      <c r="AF34" s="62"/>
      <c r="AG34" s="81"/>
      <c r="AH34" s="62"/>
    </row>
    <row r="35" spans="1:34" x14ac:dyDescent="0.25">
      <c r="A35" s="104">
        <f>RANK(F35,F$5:F$69,0)</f>
        <v>30</v>
      </c>
      <c r="B35" s="93" t="s">
        <v>129</v>
      </c>
      <c r="C35" s="19">
        <v>2005</v>
      </c>
      <c r="D35" s="36" t="s">
        <v>27</v>
      </c>
      <c r="E35" s="79" t="s">
        <v>44</v>
      </c>
      <c r="F35" s="26">
        <f>H35+AB35</f>
        <v>329</v>
      </c>
      <c r="G35" s="38">
        <v>66.028999999999996</v>
      </c>
      <c r="H35" s="150">
        <v>160</v>
      </c>
      <c r="I35" s="149"/>
      <c r="J35" s="62"/>
      <c r="K35" s="149"/>
      <c r="L35" s="62"/>
      <c r="M35" s="149"/>
      <c r="N35" s="62"/>
      <c r="O35" s="27"/>
      <c r="P35" s="4"/>
      <c r="Q35" s="30"/>
      <c r="R35" s="4"/>
      <c r="S35" s="30"/>
      <c r="T35" s="21"/>
      <c r="U35" s="27"/>
      <c r="V35" s="4"/>
      <c r="W35" s="30"/>
      <c r="X35" s="4"/>
      <c r="Y35" s="30"/>
      <c r="Z35" s="21"/>
      <c r="AA35" s="27">
        <v>66.912000000000006</v>
      </c>
      <c r="AB35" s="4">
        <v>169</v>
      </c>
      <c r="AC35" s="38"/>
      <c r="AD35" s="62"/>
      <c r="AE35" s="38"/>
      <c r="AF35" s="62"/>
      <c r="AG35" s="38"/>
      <c r="AH35" s="62"/>
    </row>
    <row r="36" spans="1:34" x14ac:dyDescent="0.25">
      <c r="A36" s="104">
        <f>RANK(F36,F$5:F$69,0)</f>
        <v>32</v>
      </c>
      <c r="B36" s="93" t="s">
        <v>102</v>
      </c>
      <c r="C36" s="19">
        <v>2003</v>
      </c>
      <c r="D36" s="36" t="s">
        <v>27</v>
      </c>
      <c r="E36" s="79" t="s">
        <v>146</v>
      </c>
      <c r="F36" s="26">
        <f>J36+L36+N36</f>
        <v>315</v>
      </c>
      <c r="G36" s="38"/>
      <c r="H36" s="150"/>
      <c r="I36" s="149">
        <v>61.765000000000001</v>
      </c>
      <c r="J36" s="62">
        <v>117</v>
      </c>
      <c r="K36" s="149">
        <v>61.029000000000003</v>
      </c>
      <c r="L36" s="62">
        <v>110</v>
      </c>
      <c r="M36" s="149">
        <v>61.792000000000002</v>
      </c>
      <c r="N36" s="62">
        <v>88</v>
      </c>
      <c r="O36" s="27"/>
      <c r="P36" s="4"/>
      <c r="Q36" s="30"/>
      <c r="R36" s="4"/>
      <c r="S36" s="30"/>
      <c r="T36" s="21"/>
      <c r="U36" s="27"/>
      <c r="V36" s="4"/>
      <c r="W36" s="30"/>
      <c r="X36" s="4"/>
      <c r="Y36" s="30"/>
      <c r="Z36" s="21"/>
      <c r="AA36" s="27"/>
      <c r="AB36" s="4"/>
      <c r="AC36" s="38"/>
      <c r="AD36" s="62"/>
      <c r="AE36" s="38"/>
      <c r="AF36" s="62"/>
      <c r="AG36" s="38"/>
      <c r="AH36" s="62"/>
    </row>
    <row r="37" spans="1:34" x14ac:dyDescent="0.25">
      <c r="A37" s="104">
        <f>RANK(F37,F$5:F$69,0)</f>
        <v>33</v>
      </c>
      <c r="B37" s="93" t="s">
        <v>139</v>
      </c>
      <c r="C37" s="19">
        <v>2003</v>
      </c>
      <c r="D37" s="36" t="s">
        <v>27</v>
      </c>
      <c r="E37" s="79" t="s">
        <v>178</v>
      </c>
      <c r="F37" s="26">
        <f>J37+L37</f>
        <v>308</v>
      </c>
      <c r="G37" s="81"/>
      <c r="H37" s="150"/>
      <c r="I37" s="149">
        <v>64.852999999999994</v>
      </c>
      <c r="J37" s="62">
        <v>149</v>
      </c>
      <c r="K37" s="149">
        <v>65.912000000000006</v>
      </c>
      <c r="L37" s="62">
        <v>159</v>
      </c>
      <c r="M37" s="149"/>
      <c r="N37" s="62"/>
      <c r="O37" s="27"/>
      <c r="P37" s="4"/>
      <c r="Q37" s="30"/>
      <c r="R37" s="4"/>
      <c r="S37" s="30"/>
      <c r="T37" s="21"/>
      <c r="U37" s="27"/>
      <c r="V37" s="4"/>
      <c r="W37" s="30"/>
      <c r="X37" s="4"/>
      <c r="Y37" s="30"/>
      <c r="Z37" s="21"/>
      <c r="AA37" s="27"/>
      <c r="AB37" s="4"/>
      <c r="AC37" s="81"/>
      <c r="AD37" s="62"/>
      <c r="AE37" s="81"/>
      <c r="AF37" s="62"/>
      <c r="AG37" s="81"/>
      <c r="AH37" s="62"/>
    </row>
    <row r="38" spans="1:34" x14ac:dyDescent="0.25">
      <c r="A38" s="104">
        <f>RANK(F38,F$5:F$69,0)</f>
        <v>34</v>
      </c>
      <c r="B38" s="7" t="s">
        <v>100</v>
      </c>
      <c r="C38" s="241">
        <v>2002</v>
      </c>
      <c r="D38" s="241" t="s">
        <v>19</v>
      </c>
      <c r="E38" s="79" t="s">
        <v>178</v>
      </c>
      <c r="F38" s="26">
        <f>P38+R38</f>
        <v>283</v>
      </c>
      <c r="G38" s="81"/>
      <c r="H38" s="150"/>
      <c r="I38" s="149"/>
      <c r="J38" s="62"/>
      <c r="K38" s="149"/>
      <c r="L38" s="62"/>
      <c r="M38" s="149"/>
      <c r="N38" s="62"/>
      <c r="O38" s="27">
        <v>62.01</v>
      </c>
      <c r="P38" s="4">
        <f>120+20</f>
        <v>140</v>
      </c>
      <c r="Q38" s="30">
        <v>62.793999999999997</v>
      </c>
      <c r="R38" s="4">
        <f>123+20</f>
        <v>143</v>
      </c>
      <c r="S38" s="30"/>
      <c r="T38" s="21"/>
      <c r="U38" s="27"/>
      <c r="V38" s="4"/>
      <c r="W38" s="30"/>
      <c r="X38" s="4"/>
      <c r="Y38" s="30"/>
      <c r="Z38" s="21"/>
      <c r="AA38" s="27"/>
      <c r="AB38" s="4"/>
      <c r="AC38" s="81"/>
      <c r="AD38" s="62"/>
      <c r="AE38" s="81"/>
      <c r="AF38" s="62"/>
      <c r="AG38" s="81"/>
      <c r="AH38" s="62"/>
    </row>
    <row r="39" spans="1:34" x14ac:dyDescent="0.25">
      <c r="A39" s="104">
        <f>RANK(F39,F$5:F$69,0)</f>
        <v>35</v>
      </c>
      <c r="B39" s="93" t="s">
        <v>87</v>
      </c>
      <c r="C39" s="19">
        <v>2002</v>
      </c>
      <c r="D39" s="36" t="s">
        <v>19</v>
      </c>
      <c r="E39" s="117" t="s">
        <v>194</v>
      </c>
      <c r="F39" s="26">
        <f>J39+L39</f>
        <v>246</v>
      </c>
      <c r="G39" s="38"/>
      <c r="H39" s="150"/>
      <c r="I39" s="149">
        <v>61.716000000000001</v>
      </c>
      <c r="J39" s="62">
        <v>117</v>
      </c>
      <c r="K39" s="149">
        <v>62.941000000000003</v>
      </c>
      <c r="L39" s="62">
        <v>129</v>
      </c>
      <c r="M39" s="149"/>
      <c r="N39" s="62"/>
      <c r="O39" s="27"/>
      <c r="P39" s="4"/>
      <c r="Q39" s="30"/>
      <c r="R39" s="4"/>
      <c r="S39" s="30"/>
      <c r="T39" s="21"/>
      <c r="U39" s="27"/>
      <c r="V39" s="4"/>
      <c r="W39" s="30"/>
      <c r="X39" s="4"/>
      <c r="Y39" s="30"/>
      <c r="Z39" s="21"/>
      <c r="AA39" s="27">
        <v>56.078000000000003</v>
      </c>
      <c r="AB39" s="4">
        <v>0</v>
      </c>
      <c r="AC39" s="38"/>
      <c r="AD39" s="62"/>
      <c r="AE39" s="38"/>
      <c r="AF39" s="62"/>
      <c r="AG39" s="38"/>
      <c r="AH39" s="62"/>
    </row>
    <row r="40" spans="1:34" x14ac:dyDescent="0.25">
      <c r="A40" s="104">
        <f>RANK(F40,F$5:F$69,0)</f>
        <v>36</v>
      </c>
      <c r="B40" s="7" t="s">
        <v>132</v>
      </c>
      <c r="C40" s="241">
        <v>2004</v>
      </c>
      <c r="D40" s="241" t="s">
        <v>27</v>
      </c>
      <c r="E40" s="79" t="s">
        <v>86</v>
      </c>
      <c r="F40" s="26">
        <f>J40+L40</f>
        <v>241</v>
      </c>
      <c r="G40" s="81"/>
      <c r="H40" s="150"/>
      <c r="I40" s="149">
        <v>61.960999999999999</v>
      </c>
      <c r="J40" s="62">
        <v>119</v>
      </c>
      <c r="K40" s="149">
        <v>62.793999999999997</v>
      </c>
      <c r="L40" s="62">
        <v>122</v>
      </c>
      <c r="M40" s="149"/>
      <c r="N40" s="62"/>
      <c r="O40" s="27"/>
      <c r="P40" s="4"/>
      <c r="Q40" s="30"/>
      <c r="R40" s="4"/>
      <c r="S40" s="30"/>
      <c r="T40" s="21"/>
      <c r="U40" s="27"/>
      <c r="V40" s="4"/>
      <c r="W40" s="30"/>
      <c r="X40" s="4"/>
      <c r="Y40" s="30"/>
      <c r="Z40" s="21"/>
      <c r="AA40" s="27"/>
      <c r="AB40" s="4"/>
      <c r="AC40" s="81"/>
      <c r="AD40" s="62"/>
      <c r="AE40" s="81"/>
      <c r="AF40" s="62"/>
      <c r="AG40" s="81"/>
      <c r="AH40" s="62"/>
    </row>
    <row r="41" spans="1:34" x14ac:dyDescent="0.25">
      <c r="A41" s="104">
        <f>RANK(F41,F$5:F$69,0)</f>
        <v>37</v>
      </c>
      <c r="B41" s="7" t="s">
        <v>196</v>
      </c>
      <c r="C41" s="30">
        <v>2002</v>
      </c>
      <c r="D41" s="4" t="s">
        <v>19</v>
      </c>
      <c r="E41" s="125" t="s">
        <v>197</v>
      </c>
      <c r="F41" s="26">
        <f>J41+L41</f>
        <v>228</v>
      </c>
      <c r="G41" s="38"/>
      <c r="H41" s="150"/>
      <c r="I41" s="149">
        <v>64.02</v>
      </c>
      <c r="J41" s="62">
        <v>140</v>
      </c>
      <c r="K41" s="149">
        <v>58.793999999999997</v>
      </c>
      <c r="L41" s="62">
        <v>88</v>
      </c>
      <c r="M41" s="149"/>
      <c r="N41" s="62"/>
      <c r="O41" s="27"/>
      <c r="P41" s="4"/>
      <c r="Q41" s="30"/>
      <c r="R41" s="4"/>
      <c r="S41" s="30"/>
      <c r="T41" s="21"/>
      <c r="U41" s="27"/>
      <c r="V41" s="4"/>
      <c r="W41" s="30"/>
      <c r="X41" s="4"/>
      <c r="Y41" s="30"/>
      <c r="Z41" s="21"/>
      <c r="AA41" s="27"/>
      <c r="AB41" s="4"/>
      <c r="AC41" s="38"/>
      <c r="AD41" s="62"/>
      <c r="AE41" s="38"/>
      <c r="AF41" s="62"/>
      <c r="AG41" s="38"/>
      <c r="AH41" s="62"/>
    </row>
    <row r="42" spans="1:34" x14ac:dyDescent="0.25">
      <c r="A42" s="104">
        <f>RANK(F42,F$5:F$69,0)</f>
        <v>38</v>
      </c>
      <c r="B42" s="93" t="s">
        <v>183</v>
      </c>
      <c r="C42" s="19">
        <v>2003</v>
      </c>
      <c r="D42" s="36" t="s">
        <v>27</v>
      </c>
      <c r="E42" s="79" t="s">
        <v>40</v>
      </c>
      <c r="F42" s="26">
        <f>J42+L42</f>
        <v>220</v>
      </c>
      <c r="G42" s="81"/>
      <c r="H42" s="150"/>
      <c r="I42" s="149">
        <v>59.814</v>
      </c>
      <c r="J42" s="62">
        <v>98</v>
      </c>
      <c r="K42" s="149">
        <v>62.206000000000003</v>
      </c>
      <c r="L42" s="62">
        <v>122</v>
      </c>
      <c r="M42" s="149"/>
      <c r="N42" s="62"/>
      <c r="O42" s="27"/>
      <c r="P42" s="4"/>
      <c r="Q42" s="30"/>
      <c r="R42" s="4"/>
      <c r="S42" s="30"/>
      <c r="T42" s="21"/>
      <c r="U42" s="27"/>
      <c r="V42" s="4"/>
      <c r="W42" s="30"/>
      <c r="X42" s="4"/>
      <c r="Y42" s="30"/>
      <c r="Z42" s="21"/>
      <c r="AA42" s="27"/>
      <c r="AB42" s="4"/>
      <c r="AC42" s="81"/>
      <c r="AD42" s="62"/>
      <c r="AE42" s="81"/>
      <c r="AF42" s="62"/>
      <c r="AG42" s="81"/>
      <c r="AH42" s="62"/>
    </row>
    <row r="43" spans="1:34" x14ac:dyDescent="0.25">
      <c r="A43" s="104">
        <f>RANK(F43,F$5:F$69,0)</f>
        <v>39</v>
      </c>
      <c r="B43" s="93" t="s">
        <v>117</v>
      </c>
      <c r="C43" s="19">
        <v>2004</v>
      </c>
      <c r="D43" s="36" t="s">
        <v>27</v>
      </c>
      <c r="E43" s="79" t="s">
        <v>201</v>
      </c>
      <c r="F43" s="26">
        <f>J43+L43</f>
        <v>207</v>
      </c>
      <c r="G43" s="38"/>
      <c r="H43" s="150"/>
      <c r="I43" s="149">
        <v>60.832999999999998</v>
      </c>
      <c r="J43" s="62">
        <v>108</v>
      </c>
      <c r="K43" s="149">
        <v>59.941000000000003</v>
      </c>
      <c r="L43" s="62">
        <v>99</v>
      </c>
      <c r="M43" s="149"/>
      <c r="N43" s="62"/>
      <c r="O43" s="27"/>
      <c r="P43" s="4"/>
      <c r="Q43" s="30"/>
      <c r="R43" s="4"/>
      <c r="S43" s="30"/>
      <c r="T43" s="21"/>
      <c r="U43" s="27"/>
      <c r="V43" s="4"/>
      <c r="W43" s="30"/>
      <c r="X43" s="4"/>
      <c r="Y43" s="30"/>
      <c r="Z43" s="21"/>
      <c r="AA43" s="27"/>
      <c r="AB43" s="4"/>
      <c r="AC43" s="38"/>
      <c r="AD43" s="62"/>
      <c r="AE43" s="38"/>
      <c r="AF43" s="62"/>
      <c r="AG43" s="38"/>
      <c r="AH43" s="62"/>
    </row>
    <row r="44" spans="1:34" x14ac:dyDescent="0.25">
      <c r="A44" s="104">
        <f>RANK(F44,F$5:F$69,0)</f>
        <v>40</v>
      </c>
      <c r="B44" s="93" t="s">
        <v>193</v>
      </c>
      <c r="C44" s="19">
        <v>2005</v>
      </c>
      <c r="D44" s="36" t="s">
        <v>27</v>
      </c>
      <c r="E44" s="117" t="s">
        <v>88</v>
      </c>
      <c r="F44" s="26">
        <f>J44+L44</f>
        <v>190</v>
      </c>
      <c r="G44" s="38"/>
      <c r="H44" s="150"/>
      <c r="I44" s="149">
        <v>60.103000000000002</v>
      </c>
      <c r="J44" s="62">
        <v>103</v>
      </c>
      <c r="K44" s="149">
        <v>58.706000000000003</v>
      </c>
      <c r="L44" s="62">
        <v>87</v>
      </c>
      <c r="M44" s="149"/>
      <c r="N44" s="62"/>
      <c r="O44" s="27"/>
      <c r="P44" s="4"/>
      <c r="Q44" s="30"/>
      <c r="R44" s="4"/>
      <c r="S44" s="30"/>
      <c r="T44" s="21"/>
      <c r="U44" s="27"/>
      <c r="V44" s="4"/>
      <c r="W44" s="30"/>
      <c r="X44" s="4"/>
      <c r="Y44" s="30"/>
      <c r="Z44" s="21"/>
      <c r="AA44" s="27"/>
      <c r="AB44" s="4"/>
      <c r="AC44" s="38"/>
      <c r="AD44" s="62"/>
      <c r="AE44" s="38"/>
      <c r="AF44" s="62"/>
      <c r="AG44" s="38"/>
      <c r="AH44" s="62"/>
    </row>
    <row r="45" spans="1:34" x14ac:dyDescent="0.25">
      <c r="A45" s="104">
        <f>RANK(F45,F$5:F$69,0)</f>
        <v>41</v>
      </c>
      <c r="B45" s="93" t="s">
        <v>59</v>
      </c>
      <c r="C45" s="19">
        <v>2002</v>
      </c>
      <c r="D45" s="36" t="s">
        <v>27</v>
      </c>
      <c r="E45" s="117" t="s">
        <v>38</v>
      </c>
      <c r="F45" s="26">
        <f>AB45</f>
        <v>181</v>
      </c>
      <c r="G45" s="81"/>
      <c r="H45" s="150"/>
      <c r="I45" s="149"/>
      <c r="J45" s="62"/>
      <c r="K45" s="149"/>
      <c r="L45" s="62"/>
      <c r="M45" s="149"/>
      <c r="N45" s="62"/>
      <c r="O45" s="27"/>
      <c r="P45" s="4"/>
      <c r="Q45" s="30"/>
      <c r="R45" s="4"/>
      <c r="S45" s="30"/>
      <c r="T45" s="21"/>
      <c r="U45" s="27"/>
      <c r="V45" s="4"/>
      <c r="W45" s="30"/>
      <c r="X45" s="4"/>
      <c r="Y45" s="30"/>
      <c r="Z45" s="21"/>
      <c r="AA45" s="27">
        <v>68.137</v>
      </c>
      <c r="AB45" s="4">
        <v>181</v>
      </c>
      <c r="AC45" s="81"/>
      <c r="AD45" s="62"/>
      <c r="AE45" s="81"/>
      <c r="AF45" s="62"/>
      <c r="AG45" s="81"/>
      <c r="AH45" s="62"/>
    </row>
    <row r="46" spans="1:34" x14ac:dyDescent="0.25">
      <c r="A46" s="104">
        <f>RANK(F46,F$5:F$69,0)</f>
        <v>43</v>
      </c>
      <c r="B46" s="93" t="s">
        <v>179</v>
      </c>
      <c r="C46" s="19">
        <v>2000</v>
      </c>
      <c r="D46" s="36" t="s">
        <v>27</v>
      </c>
      <c r="E46" s="79" t="s">
        <v>233</v>
      </c>
      <c r="F46" s="26">
        <f>AB46</f>
        <v>159</v>
      </c>
      <c r="G46" s="81"/>
      <c r="H46" s="150"/>
      <c r="I46" s="149"/>
      <c r="J46" s="62"/>
      <c r="K46" s="149"/>
      <c r="L46" s="62"/>
      <c r="M46" s="149"/>
      <c r="N46" s="62"/>
      <c r="O46" s="27"/>
      <c r="P46" s="4"/>
      <c r="Q46" s="30"/>
      <c r="R46" s="4"/>
      <c r="S46" s="30"/>
      <c r="T46" s="21"/>
      <c r="U46" s="27"/>
      <c r="V46" s="4"/>
      <c r="W46" s="30"/>
      <c r="X46" s="4"/>
      <c r="Y46" s="30"/>
      <c r="Z46" s="21"/>
      <c r="AA46" s="27">
        <v>65.900000000000006</v>
      </c>
      <c r="AB46" s="4">
        <v>159</v>
      </c>
      <c r="AC46" s="81"/>
      <c r="AD46" s="62"/>
      <c r="AE46" s="81"/>
      <c r="AF46" s="62"/>
      <c r="AG46" s="81"/>
      <c r="AH46" s="62"/>
    </row>
    <row r="47" spans="1:34" x14ac:dyDescent="0.25">
      <c r="A47" s="104">
        <f>RANK(F47,F$5:F$69,0)</f>
        <v>44</v>
      </c>
      <c r="B47" s="93" t="s">
        <v>66</v>
      </c>
      <c r="C47" s="19">
        <v>2000</v>
      </c>
      <c r="D47" s="36" t="s">
        <v>19</v>
      </c>
      <c r="E47" s="79" t="s">
        <v>234</v>
      </c>
      <c r="F47" s="26">
        <f>AB47</f>
        <v>157</v>
      </c>
      <c r="G47" s="81"/>
      <c r="H47" s="150"/>
      <c r="I47" s="149"/>
      <c r="J47" s="62"/>
      <c r="K47" s="149"/>
      <c r="L47" s="62"/>
      <c r="M47" s="149"/>
      <c r="N47" s="62"/>
      <c r="O47" s="27"/>
      <c r="P47" s="4"/>
      <c r="Q47" s="30"/>
      <c r="R47" s="4"/>
      <c r="S47" s="30"/>
      <c r="T47" s="21"/>
      <c r="U47" s="27"/>
      <c r="V47" s="4"/>
      <c r="W47" s="30"/>
      <c r="X47" s="4"/>
      <c r="Y47" s="30"/>
      <c r="Z47" s="21"/>
      <c r="AA47" s="27">
        <v>65.686000000000007</v>
      </c>
      <c r="AB47" s="4">
        <v>157</v>
      </c>
      <c r="AC47" s="81"/>
      <c r="AD47" s="62"/>
      <c r="AE47" s="81"/>
      <c r="AF47" s="62"/>
      <c r="AG47" s="81"/>
      <c r="AH47" s="62"/>
    </row>
    <row r="48" spans="1:34" x14ac:dyDescent="0.25">
      <c r="A48" s="104">
        <f>RANK(F48,F$5:F$69,0)</f>
        <v>45</v>
      </c>
      <c r="B48" s="93" t="s">
        <v>77</v>
      </c>
      <c r="C48" s="19">
        <v>2003</v>
      </c>
      <c r="D48" s="36" t="s">
        <v>19</v>
      </c>
      <c r="E48" s="79" t="s">
        <v>235</v>
      </c>
      <c r="F48" s="26">
        <f>AB48</f>
        <v>143</v>
      </c>
      <c r="G48" s="81"/>
      <c r="H48" s="150"/>
      <c r="I48" s="149"/>
      <c r="J48" s="62"/>
      <c r="K48" s="149"/>
      <c r="L48" s="62"/>
      <c r="M48" s="149"/>
      <c r="N48" s="62"/>
      <c r="O48" s="27"/>
      <c r="P48" s="4"/>
      <c r="Q48" s="30"/>
      <c r="R48" s="4"/>
      <c r="S48" s="30"/>
      <c r="T48" s="21"/>
      <c r="U48" s="27"/>
      <c r="V48" s="4"/>
      <c r="W48" s="30"/>
      <c r="X48" s="4"/>
      <c r="Y48" s="30"/>
      <c r="Z48" s="21"/>
      <c r="AA48" s="27">
        <v>64.265000000000001</v>
      </c>
      <c r="AB48" s="4">
        <v>143</v>
      </c>
      <c r="AC48" s="81"/>
      <c r="AD48" s="62"/>
      <c r="AE48" s="81"/>
      <c r="AF48" s="62"/>
      <c r="AG48" s="81"/>
      <c r="AH48" s="62"/>
    </row>
    <row r="49" spans="1:34" x14ac:dyDescent="0.25">
      <c r="A49" s="104">
        <f>RANK(F49,F$5:F$69,0)</f>
        <v>46</v>
      </c>
      <c r="B49" s="93" t="s">
        <v>132</v>
      </c>
      <c r="C49" s="19">
        <v>2004</v>
      </c>
      <c r="D49" s="36" t="s">
        <v>27</v>
      </c>
      <c r="E49" s="79" t="s">
        <v>86</v>
      </c>
      <c r="F49" s="26">
        <f>AB49</f>
        <v>141</v>
      </c>
      <c r="G49" s="81"/>
      <c r="H49" s="150"/>
      <c r="I49" s="149"/>
      <c r="J49" s="62"/>
      <c r="K49" s="149"/>
      <c r="L49" s="62"/>
      <c r="M49" s="149"/>
      <c r="N49" s="62"/>
      <c r="O49" s="27"/>
      <c r="P49" s="4"/>
      <c r="Q49" s="30"/>
      <c r="R49" s="4"/>
      <c r="S49" s="30"/>
      <c r="T49" s="21"/>
      <c r="U49" s="27"/>
      <c r="V49" s="4"/>
      <c r="W49" s="30"/>
      <c r="X49" s="4"/>
      <c r="Y49" s="30"/>
      <c r="Z49" s="21"/>
      <c r="AA49" s="27">
        <v>64.117999999999995</v>
      </c>
      <c r="AB49" s="4">
        <v>141</v>
      </c>
      <c r="AC49" s="81"/>
      <c r="AD49" s="62"/>
      <c r="AE49" s="81"/>
      <c r="AF49" s="62"/>
      <c r="AG49" s="81"/>
      <c r="AH49" s="62"/>
    </row>
    <row r="50" spans="1:34" x14ac:dyDescent="0.25">
      <c r="A50" s="104">
        <f>RANK(F50,F$5:F$69,0)</f>
        <v>47</v>
      </c>
      <c r="B50" s="93" t="s">
        <v>193</v>
      </c>
      <c r="C50" s="19">
        <v>2005</v>
      </c>
      <c r="D50" s="36" t="s">
        <v>27</v>
      </c>
      <c r="E50" s="79" t="s">
        <v>145</v>
      </c>
      <c r="F50" s="26">
        <f>AB50</f>
        <v>139</v>
      </c>
      <c r="G50" s="81"/>
      <c r="H50" s="150"/>
      <c r="I50" s="149"/>
      <c r="J50" s="62"/>
      <c r="K50" s="149"/>
      <c r="L50" s="62"/>
      <c r="M50" s="149"/>
      <c r="N50" s="62"/>
      <c r="O50" s="27"/>
      <c r="P50" s="4"/>
      <c r="Q50" s="30"/>
      <c r="R50" s="4"/>
      <c r="S50" s="30"/>
      <c r="T50" s="21"/>
      <c r="U50" s="27"/>
      <c r="V50" s="4"/>
      <c r="W50" s="30"/>
      <c r="X50" s="4"/>
      <c r="Y50" s="30"/>
      <c r="Z50" s="21"/>
      <c r="AA50" s="27">
        <v>63.921999999999997</v>
      </c>
      <c r="AB50" s="4">
        <v>139</v>
      </c>
      <c r="AC50" s="81"/>
      <c r="AD50" s="62"/>
      <c r="AE50" s="81"/>
      <c r="AF50" s="62"/>
      <c r="AG50" s="81"/>
      <c r="AH50" s="62"/>
    </row>
    <row r="51" spans="1:34" x14ac:dyDescent="0.25">
      <c r="A51" s="104">
        <f>RANK(F51,F$5:F$69,0)</f>
        <v>48</v>
      </c>
      <c r="B51" s="93" t="s">
        <v>136</v>
      </c>
      <c r="C51" s="19">
        <v>2005</v>
      </c>
      <c r="D51" s="36" t="s">
        <v>27</v>
      </c>
      <c r="E51" s="79" t="s">
        <v>88</v>
      </c>
      <c r="F51" s="26">
        <f>AB51</f>
        <v>131</v>
      </c>
      <c r="G51" s="81"/>
      <c r="H51" s="150"/>
      <c r="I51" s="149"/>
      <c r="J51" s="62"/>
      <c r="K51" s="149"/>
      <c r="L51" s="62"/>
      <c r="M51" s="149"/>
      <c r="N51" s="62"/>
      <c r="O51" s="27"/>
      <c r="P51" s="4"/>
      <c r="Q51" s="30"/>
      <c r="R51" s="4"/>
      <c r="S51" s="30"/>
      <c r="T51" s="21"/>
      <c r="U51" s="27"/>
      <c r="V51" s="4"/>
      <c r="W51" s="30"/>
      <c r="X51" s="4"/>
      <c r="Y51" s="30"/>
      <c r="Z51" s="21"/>
      <c r="AA51" s="27">
        <v>63.137</v>
      </c>
      <c r="AB51" s="4">
        <v>131</v>
      </c>
      <c r="AC51" s="81"/>
      <c r="AD51" s="62"/>
      <c r="AE51" s="81"/>
      <c r="AF51" s="62"/>
      <c r="AG51" s="81"/>
      <c r="AH51" s="62"/>
    </row>
    <row r="52" spans="1:34" x14ac:dyDescent="0.25">
      <c r="A52" s="104">
        <f>RANK(F52,F$5:F$69,0)</f>
        <v>49</v>
      </c>
      <c r="B52" s="93" t="s">
        <v>183</v>
      </c>
      <c r="C52" s="19">
        <v>2003</v>
      </c>
      <c r="D52" s="36" t="s">
        <v>27</v>
      </c>
      <c r="E52" s="79" t="s">
        <v>61</v>
      </c>
      <c r="F52" s="26">
        <f>H52</f>
        <v>126</v>
      </c>
      <c r="G52" s="81">
        <v>62.597999999999999</v>
      </c>
      <c r="H52" s="150">
        <v>126</v>
      </c>
      <c r="I52" s="149"/>
      <c r="J52" s="62"/>
      <c r="K52" s="149"/>
      <c r="L52" s="62"/>
      <c r="M52" s="149"/>
      <c r="N52" s="62"/>
      <c r="O52" s="27"/>
      <c r="P52" s="4"/>
      <c r="Q52" s="30"/>
      <c r="R52" s="4"/>
      <c r="S52" s="30"/>
      <c r="T52" s="21"/>
      <c r="U52" s="27"/>
      <c r="V52" s="4"/>
      <c r="W52" s="30"/>
      <c r="X52" s="4"/>
      <c r="Y52" s="30"/>
      <c r="Z52" s="21"/>
      <c r="AA52" s="27"/>
      <c r="AB52" s="4"/>
      <c r="AC52" s="81"/>
      <c r="AD52" s="62"/>
      <c r="AE52" s="81"/>
      <c r="AF52" s="62"/>
      <c r="AG52" s="81"/>
      <c r="AH52" s="62"/>
    </row>
    <row r="53" spans="1:34" x14ac:dyDescent="0.25">
      <c r="A53" s="104">
        <f>RANK(F53,F$5:F$69,0)</f>
        <v>50</v>
      </c>
      <c r="B53" s="93" t="s">
        <v>270</v>
      </c>
      <c r="C53" s="19">
        <v>2004</v>
      </c>
      <c r="D53" s="36" t="s">
        <v>27</v>
      </c>
      <c r="E53" s="79" t="s">
        <v>56</v>
      </c>
      <c r="F53" s="26">
        <f>AH53</f>
        <v>112</v>
      </c>
      <c r="G53" s="81"/>
      <c r="H53" s="150"/>
      <c r="I53" s="149"/>
      <c r="J53" s="62"/>
      <c r="K53" s="149"/>
      <c r="L53" s="62"/>
      <c r="M53" s="149"/>
      <c r="N53" s="62"/>
      <c r="O53" s="27"/>
      <c r="P53" s="4"/>
      <c r="Q53" s="30"/>
      <c r="R53" s="4"/>
      <c r="S53" s="30"/>
      <c r="T53" s="21"/>
      <c r="U53" s="27"/>
      <c r="V53" s="4"/>
      <c r="W53" s="30"/>
      <c r="X53" s="4"/>
      <c r="Y53" s="30"/>
      <c r="Z53" s="21"/>
      <c r="AA53" s="27"/>
      <c r="AB53" s="4"/>
      <c r="AC53" s="81"/>
      <c r="AD53" s="62"/>
      <c r="AE53" s="81"/>
      <c r="AF53" s="62"/>
      <c r="AG53" s="81">
        <v>61.225000000000001</v>
      </c>
      <c r="AH53" s="62">
        <v>112</v>
      </c>
    </row>
    <row r="54" spans="1:34" x14ac:dyDescent="0.25">
      <c r="A54" s="104">
        <f>RANK(F54,F$5:F$69,0)</f>
        <v>51</v>
      </c>
      <c r="B54" s="93" t="s">
        <v>183</v>
      </c>
      <c r="C54" s="19">
        <v>2003</v>
      </c>
      <c r="D54" s="36" t="s">
        <v>27</v>
      </c>
      <c r="E54" s="117" t="s">
        <v>202</v>
      </c>
      <c r="F54" s="26">
        <f>J54</f>
        <v>100</v>
      </c>
      <c r="G54" s="38"/>
      <c r="H54" s="150"/>
      <c r="I54" s="149">
        <v>60.048999999999999</v>
      </c>
      <c r="J54" s="62">
        <v>100</v>
      </c>
      <c r="K54" s="149"/>
      <c r="L54" s="62"/>
      <c r="M54" s="149"/>
      <c r="N54" s="62"/>
      <c r="O54" s="27"/>
      <c r="P54" s="4"/>
      <c r="Q54" s="30"/>
      <c r="R54" s="4"/>
      <c r="S54" s="30"/>
      <c r="T54" s="21"/>
      <c r="U54" s="27"/>
      <c r="V54" s="4"/>
      <c r="W54" s="30"/>
      <c r="X54" s="4"/>
      <c r="Y54" s="30"/>
      <c r="Z54" s="21"/>
      <c r="AA54" s="27"/>
      <c r="AB54" s="4"/>
      <c r="AC54" s="38"/>
      <c r="AD54" s="62"/>
      <c r="AE54" s="38"/>
      <c r="AF54" s="62"/>
      <c r="AG54" s="38"/>
      <c r="AH54" s="62"/>
    </row>
    <row r="55" spans="1:34" x14ac:dyDescent="0.25">
      <c r="A55" s="104">
        <f>RANK(F55,F$5:F$69,0)</f>
        <v>52</v>
      </c>
      <c r="B55" s="93" t="s">
        <v>80</v>
      </c>
      <c r="C55" s="19">
        <v>2003</v>
      </c>
      <c r="D55" s="36" t="s">
        <v>19</v>
      </c>
      <c r="E55" s="79" t="s">
        <v>81</v>
      </c>
      <c r="F55" s="26"/>
      <c r="G55" s="38"/>
      <c r="H55" s="150"/>
      <c r="I55" s="149"/>
      <c r="J55" s="62"/>
      <c r="K55" s="149"/>
      <c r="L55" s="62"/>
      <c r="M55" s="149"/>
      <c r="N55" s="62"/>
      <c r="O55" s="27"/>
      <c r="P55" s="4"/>
      <c r="Q55" s="30"/>
      <c r="R55" s="4"/>
      <c r="S55" s="30"/>
      <c r="T55" s="21"/>
      <c r="U55" s="27"/>
      <c r="V55" s="4"/>
      <c r="W55" s="30"/>
      <c r="X55" s="4"/>
      <c r="Y55" s="30"/>
      <c r="Z55" s="21"/>
      <c r="AA55" s="27"/>
      <c r="AB55" s="4"/>
      <c r="AC55" s="38"/>
      <c r="AD55" s="62"/>
      <c r="AE55" s="38"/>
      <c r="AF55" s="62"/>
      <c r="AG55" s="38"/>
      <c r="AH55" s="62"/>
    </row>
    <row r="56" spans="1:34" x14ac:dyDescent="0.25">
      <c r="A56" s="104">
        <f>RANK(F56,F$5:F$69,0)</f>
        <v>52</v>
      </c>
      <c r="B56" s="93" t="s">
        <v>52</v>
      </c>
      <c r="C56" s="19">
        <v>1999</v>
      </c>
      <c r="D56" s="36" t="s">
        <v>27</v>
      </c>
      <c r="E56" s="79" t="s">
        <v>53</v>
      </c>
      <c r="F56" s="26">
        <f>P56+R56</f>
        <v>0</v>
      </c>
      <c r="G56" s="38"/>
      <c r="H56" s="150"/>
      <c r="I56" s="149"/>
      <c r="J56" s="62"/>
      <c r="K56" s="149"/>
      <c r="L56" s="62"/>
      <c r="M56" s="149"/>
      <c r="N56" s="62"/>
      <c r="O56" s="27"/>
      <c r="P56" s="4"/>
      <c r="Q56" s="30"/>
      <c r="R56" s="4"/>
      <c r="S56" s="30"/>
      <c r="T56" s="21"/>
      <c r="U56" s="27"/>
      <c r="V56" s="4"/>
      <c r="W56" s="30"/>
      <c r="X56" s="4"/>
      <c r="Y56" s="30"/>
      <c r="Z56" s="21"/>
      <c r="AA56" s="27"/>
      <c r="AB56" s="4"/>
      <c r="AC56" s="38"/>
      <c r="AD56" s="62"/>
      <c r="AE56" s="38"/>
      <c r="AF56" s="62"/>
      <c r="AG56" s="38"/>
      <c r="AH56" s="62"/>
    </row>
    <row r="57" spans="1:34" x14ac:dyDescent="0.25">
      <c r="A57" s="104">
        <f>RANK(F57,F$5:F$69,0)</f>
        <v>52</v>
      </c>
      <c r="B57" s="7" t="s">
        <v>85</v>
      </c>
      <c r="C57" s="201">
        <v>2005</v>
      </c>
      <c r="D57" s="201" t="s">
        <v>27</v>
      </c>
      <c r="E57" s="6" t="s">
        <v>86</v>
      </c>
      <c r="F57" s="26">
        <f>P57+R57</f>
        <v>0</v>
      </c>
      <c r="G57" s="81"/>
      <c r="H57" s="150"/>
      <c r="I57" s="149"/>
      <c r="J57" s="62"/>
      <c r="K57" s="149"/>
      <c r="L57" s="62"/>
      <c r="M57" s="149"/>
      <c r="N57" s="62"/>
      <c r="O57" s="27"/>
      <c r="P57" s="4"/>
      <c r="Q57" s="30"/>
      <c r="R57" s="4"/>
      <c r="S57" s="30"/>
      <c r="T57" s="21"/>
      <c r="U57" s="27"/>
      <c r="V57" s="4"/>
      <c r="W57" s="30"/>
      <c r="X57" s="4"/>
      <c r="Y57" s="30"/>
      <c r="Z57" s="21"/>
      <c r="AA57" s="27"/>
      <c r="AB57" s="4"/>
      <c r="AC57" s="81"/>
      <c r="AD57" s="62"/>
      <c r="AE57" s="81"/>
      <c r="AF57" s="62"/>
      <c r="AG57" s="81"/>
      <c r="AH57" s="62"/>
    </row>
    <row r="58" spans="1:34" x14ac:dyDescent="0.25">
      <c r="A58" s="104">
        <f>RANK(F58,F$5:F$69,0)</f>
        <v>52</v>
      </c>
      <c r="B58" s="94" t="s">
        <v>97</v>
      </c>
      <c r="C58" s="60">
        <v>2004</v>
      </c>
      <c r="D58" s="73" t="s">
        <v>19</v>
      </c>
      <c r="E58" s="79" t="s">
        <v>138</v>
      </c>
      <c r="F58" s="26">
        <f>P58+R58</f>
        <v>0</v>
      </c>
      <c r="G58" s="38"/>
      <c r="H58" s="150"/>
      <c r="I58" s="149"/>
      <c r="J58" s="62"/>
      <c r="K58" s="149"/>
      <c r="L58" s="62"/>
      <c r="M58" s="149"/>
      <c r="N58" s="62"/>
      <c r="O58" s="27"/>
      <c r="P58" s="4"/>
      <c r="Q58" s="30"/>
      <c r="R58" s="4"/>
      <c r="S58" s="30"/>
      <c r="T58" s="21"/>
      <c r="U58" s="27"/>
      <c r="V58" s="4"/>
      <c r="W58" s="30"/>
      <c r="X58" s="4"/>
      <c r="Y58" s="30"/>
      <c r="Z58" s="21"/>
      <c r="AA58" s="27"/>
      <c r="AB58" s="4"/>
      <c r="AC58" s="38"/>
      <c r="AD58" s="62"/>
      <c r="AE58" s="38"/>
      <c r="AF58" s="62"/>
      <c r="AG58" s="38"/>
      <c r="AH58" s="62"/>
    </row>
    <row r="59" spans="1:34" x14ac:dyDescent="0.25">
      <c r="A59" s="104">
        <f>RANK(F59,F$5:F$69,0)</f>
        <v>52</v>
      </c>
      <c r="B59" s="208" t="s">
        <v>82</v>
      </c>
      <c r="C59" s="209">
        <v>2002</v>
      </c>
      <c r="D59" s="210" t="s">
        <v>27</v>
      </c>
      <c r="E59" s="212" t="s">
        <v>83</v>
      </c>
      <c r="F59" s="26">
        <f>P59+R59</f>
        <v>0</v>
      </c>
      <c r="G59" s="186"/>
      <c r="H59" s="194"/>
      <c r="I59" s="195"/>
      <c r="J59" s="192"/>
      <c r="K59" s="195"/>
      <c r="L59" s="194"/>
      <c r="M59" s="196"/>
      <c r="N59" s="192"/>
      <c r="O59" s="131"/>
      <c r="P59" s="58"/>
      <c r="Q59" s="132"/>
      <c r="R59" s="58"/>
      <c r="S59" s="132"/>
      <c r="T59" s="59"/>
      <c r="U59" s="131"/>
      <c r="V59" s="58"/>
      <c r="W59" s="132"/>
      <c r="X59" s="58"/>
      <c r="Y59" s="132"/>
      <c r="Z59" s="59"/>
      <c r="AA59" s="131"/>
      <c r="AB59" s="58"/>
      <c r="AC59" s="186"/>
      <c r="AD59" s="192"/>
      <c r="AE59" s="186"/>
      <c r="AF59" s="192"/>
      <c r="AG59" s="186"/>
      <c r="AH59" s="192"/>
    </row>
    <row r="60" spans="1:34" x14ac:dyDescent="0.25">
      <c r="A60" s="104">
        <f>RANK(F60,F$5:F$69,0)</f>
        <v>52</v>
      </c>
      <c r="B60" s="72" t="s">
        <v>100</v>
      </c>
      <c r="C60" s="162">
        <v>2002</v>
      </c>
      <c r="D60" s="162" t="s">
        <v>19</v>
      </c>
      <c r="E60" s="193" t="s">
        <v>149</v>
      </c>
      <c r="F60" s="26">
        <f>P60+R60</f>
        <v>0</v>
      </c>
      <c r="G60" s="186"/>
      <c r="H60" s="194"/>
      <c r="I60" s="195"/>
      <c r="J60" s="192"/>
      <c r="K60" s="195"/>
      <c r="L60" s="194"/>
      <c r="M60" s="196"/>
      <c r="N60" s="192"/>
      <c r="O60" s="131"/>
      <c r="P60" s="58"/>
      <c r="Q60" s="132"/>
      <c r="R60" s="58"/>
      <c r="S60" s="132"/>
      <c r="T60" s="59"/>
      <c r="U60" s="131"/>
      <c r="V60" s="58"/>
      <c r="W60" s="132"/>
      <c r="X60" s="58"/>
      <c r="Y60" s="132"/>
      <c r="Z60" s="59"/>
      <c r="AA60" s="131"/>
      <c r="AB60" s="58"/>
      <c r="AC60" s="186"/>
      <c r="AD60" s="192"/>
      <c r="AE60" s="186"/>
      <c r="AF60" s="192"/>
      <c r="AG60" s="186"/>
      <c r="AH60" s="192"/>
    </row>
    <row r="61" spans="1:34" x14ac:dyDescent="0.25">
      <c r="A61" s="104">
        <f>RANK(F61,F$5:F$69,0)</f>
        <v>52</v>
      </c>
      <c r="B61" s="136" t="s">
        <v>97</v>
      </c>
      <c r="C61" s="126">
        <v>2004</v>
      </c>
      <c r="D61" s="127" t="s">
        <v>19</v>
      </c>
      <c r="E61" s="193" t="s">
        <v>141</v>
      </c>
      <c r="F61" s="26">
        <f>P61+R61</f>
        <v>0</v>
      </c>
      <c r="G61" s="133"/>
      <c r="H61" s="194"/>
      <c r="I61" s="195"/>
      <c r="J61" s="192"/>
      <c r="K61" s="195"/>
      <c r="L61" s="194"/>
      <c r="M61" s="196"/>
      <c r="N61" s="192"/>
      <c r="O61" s="131"/>
      <c r="P61" s="58"/>
      <c r="Q61" s="132"/>
      <c r="R61" s="58"/>
      <c r="S61" s="132"/>
      <c r="T61" s="59"/>
      <c r="U61" s="131"/>
      <c r="V61" s="58"/>
      <c r="W61" s="132"/>
      <c r="X61" s="58"/>
      <c r="Y61" s="132"/>
      <c r="Z61" s="59"/>
      <c r="AA61" s="131"/>
      <c r="AB61" s="58"/>
      <c r="AC61" s="133"/>
      <c r="AD61" s="192"/>
      <c r="AE61" s="133"/>
      <c r="AF61" s="192"/>
      <c r="AG61" s="133"/>
      <c r="AH61" s="192"/>
    </row>
    <row r="62" spans="1:34" x14ac:dyDescent="0.25">
      <c r="A62" s="104">
        <f>RANK(F62,F$5:F$69,0)</f>
        <v>52</v>
      </c>
      <c r="B62" s="72" t="s">
        <v>85</v>
      </c>
      <c r="C62" s="162">
        <v>2005</v>
      </c>
      <c r="D62" s="162" t="s">
        <v>27</v>
      </c>
      <c r="E62" s="193" t="s">
        <v>168</v>
      </c>
      <c r="F62" s="26">
        <f>P62+R62</f>
        <v>0</v>
      </c>
      <c r="G62" s="133"/>
      <c r="H62" s="194"/>
      <c r="I62" s="195"/>
      <c r="J62" s="192"/>
      <c r="K62" s="195"/>
      <c r="L62" s="194"/>
      <c r="M62" s="196"/>
      <c r="N62" s="192"/>
      <c r="O62" s="131"/>
      <c r="P62" s="58"/>
      <c r="Q62" s="132"/>
      <c r="R62" s="58"/>
      <c r="S62" s="132"/>
      <c r="T62" s="59"/>
      <c r="U62" s="131"/>
      <c r="V62" s="58"/>
      <c r="W62" s="132"/>
      <c r="X62" s="58"/>
      <c r="Y62" s="132"/>
      <c r="Z62" s="59"/>
      <c r="AA62" s="131"/>
      <c r="AB62" s="58"/>
      <c r="AC62" s="133"/>
      <c r="AD62" s="192"/>
      <c r="AE62" s="133"/>
      <c r="AF62" s="192"/>
      <c r="AG62" s="133"/>
      <c r="AH62" s="192"/>
    </row>
    <row r="63" spans="1:34" x14ac:dyDescent="0.25">
      <c r="A63" s="104">
        <f>RANK(F63,F$5:F$69,0)</f>
        <v>52</v>
      </c>
      <c r="B63" s="136" t="s">
        <v>137</v>
      </c>
      <c r="C63" s="126">
        <v>2005</v>
      </c>
      <c r="D63" s="127">
        <v>1</v>
      </c>
      <c r="E63" s="211" t="s">
        <v>152</v>
      </c>
      <c r="F63" s="26">
        <f>P63+R63</f>
        <v>0</v>
      </c>
      <c r="G63" s="133"/>
      <c r="H63" s="194"/>
      <c r="I63" s="195"/>
      <c r="J63" s="192"/>
      <c r="K63" s="195"/>
      <c r="L63" s="194"/>
      <c r="M63" s="196"/>
      <c r="N63" s="192"/>
      <c r="O63" s="131"/>
      <c r="P63" s="58"/>
      <c r="Q63" s="132"/>
      <c r="R63" s="58"/>
      <c r="S63" s="132"/>
      <c r="T63" s="59"/>
      <c r="U63" s="131"/>
      <c r="V63" s="58"/>
      <c r="W63" s="132"/>
      <c r="X63" s="58"/>
      <c r="Y63" s="132"/>
      <c r="Z63" s="59"/>
      <c r="AA63" s="131"/>
      <c r="AB63" s="58"/>
      <c r="AC63" s="133"/>
      <c r="AD63" s="192"/>
      <c r="AE63" s="133"/>
      <c r="AF63" s="192"/>
      <c r="AG63" s="133"/>
      <c r="AH63" s="192"/>
    </row>
    <row r="64" spans="1:34" x14ac:dyDescent="0.25">
      <c r="A64" s="104">
        <f>RANK(F64,F$5:F$69,0)</f>
        <v>52</v>
      </c>
      <c r="B64" s="136" t="s">
        <v>55</v>
      </c>
      <c r="C64" s="126">
        <v>2002</v>
      </c>
      <c r="D64" s="127" t="s">
        <v>27</v>
      </c>
      <c r="E64" s="193" t="s">
        <v>56</v>
      </c>
      <c r="F64" s="26">
        <f>P64+R64</f>
        <v>0</v>
      </c>
      <c r="G64" s="186"/>
      <c r="H64" s="194"/>
      <c r="I64" s="195"/>
      <c r="J64" s="192"/>
      <c r="K64" s="195"/>
      <c r="L64" s="194"/>
      <c r="M64" s="196"/>
      <c r="N64" s="192"/>
      <c r="O64" s="131"/>
      <c r="P64" s="58"/>
      <c r="Q64" s="132"/>
      <c r="R64" s="58"/>
      <c r="S64" s="132"/>
      <c r="T64" s="59"/>
      <c r="U64" s="131"/>
      <c r="V64" s="58"/>
      <c r="W64" s="132"/>
      <c r="X64" s="58"/>
      <c r="Y64" s="132"/>
      <c r="Z64" s="59"/>
      <c r="AA64" s="131"/>
      <c r="AB64" s="58"/>
      <c r="AC64" s="186"/>
      <c r="AD64" s="192"/>
      <c r="AE64" s="186"/>
      <c r="AF64" s="192"/>
      <c r="AG64" s="186"/>
      <c r="AH64" s="192"/>
    </row>
    <row r="65" spans="1:34" x14ac:dyDescent="0.25">
      <c r="A65" s="104">
        <f>RANK(F65,F$5:F$69,0)</f>
        <v>52</v>
      </c>
      <c r="B65" s="136" t="s">
        <v>57</v>
      </c>
      <c r="C65" s="126">
        <v>2003</v>
      </c>
      <c r="D65" s="127" t="s">
        <v>27</v>
      </c>
      <c r="E65" s="193" t="s">
        <v>58</v>
      </c>
      <c r="F65" s="26">
        <f>P65+R65</f>
        <v>0</v>
      </c>
      <c r="G65" s="133"/>
      <c r="H65" s="194"/>
      <c r="I65" s="195"/>
      <c r="J65" s="192"/>
      <c r="K65" s="195"/>
      <c r="L65" s="194"/>
      <c r="M65" s="196"/>
      <c r="N65" s="192"/>
      <c r="O65" s="131"/>
      <c r="P65" s="58"/>
      <c r="Q65" s="132"/>
      <c r="R65" s="58"/>
      <c r="S65" s="132"/>
      <c r="T65" s="59"/>
      <c r="U65" s="131"/>
      <c r="V65" s="58"/>
      <c r="W65" s="132"/>
      <c r="X65" s="58"/>
      <c r="Y65" s="132"/>
      <c r="Z65" s="59"/>
      <c r="AA65" s="131"/>
      <c r="AB65" s="58"/>
      <c r="AC65" s="133"/>
      <c r="AD65" s="192"/>
      <c r="AE65" s="133"/>
      <c r="AF65" s="192"/>
      <c r="AG65" s="133"/>
      <c r="AH65" s="192"/>
    </row>
    <row r="66" spans="1:34" ht="15.75" thickBot="1" x14ac:dyDescent="0.3">
      <c r="A66" s="104"/>
      <c r="B66" s="124" t="s">
        <v>89</v>
      </c>
      <c r="C66" s="20">
        <v>2003</v>
      </c>
      <c r="D66" s="70" t="s">
        <v>19</v>
      </c>
      <c r="E66" s="124" t="s">
        <v>236</v>
      </c>
      <c r="F66" s="26">
        <f>AH66</f>
        <v>163</v>
      </c>
      <c r="G66" s="28"/>
      <c r="H66" s="151"/>
      <c r="I66" s="152"/>
      <c r="J66" s="151"/>
      <c r="K66" s="152"/>
      <c r="L66" s="153"/>
      <c r="M66" s="154"/>
      <c r="N66" s="151"/>
      <c r="O66" s="28"/>
      <c r="P66" s="23"/>
      <c r="Q66" s="31"/>
      <c r="R66" s="23"/>
      <c r="S66" s="31"/>
      <c r="T66" s="24"/>
      <c r="U66" s="28"/>
      <c r="V66" s="23"/>
      <c r="W66" s="31"/>
      <c r="X66" s="23"/>
      <c r="Y66" s="31"/>
      <c r="Z66" s="24"/>
      <c r="AA66" s="28"/>
      <c r="AB66" s="23"/>
      <c r="AC66" s="28"/>
      <c r="AD66" s="151"/>
      <c r="AE66" s="28"/>
      <c r="AF66" s="151"/>
      <c r="AG66" s="28">
        <v>66.323999999999998</v>
      </c>
      <c r="AH66" s="151">
        <v>163</v>
      </c>
    </row>
    <row r="67" spans="1:34" s="141" customFormat="1" x14ac:dyDescent="0.25">
      <c r="F67" s="207"/>
      <c r="I67" s="142"/>
      <c r="K67" s="142"/>
      <c r="M67" s="142"/>
      <c r="AD67" s="203"/>
      <c r="AF67" s="203"/>
      <c r="AH67" s="203"/>
    </row>
    <row r="68" spans="1:34" s="141" customFormat="1" x14ac:dyDescent="0.25">
      <c r="F68" s="207"/>
      <c r="I68" s="142"/>
      <c r="K68" s="142"/>
      <c r="M68" s="142"/>
      <c r="AD68" s="203"/>
      <c r="AF68" s="203"/>
      <c r="AH68" s="203"/>
    </row>
    <row r="69" spans="1:34" s="141" customFormat="1" x14ac:dyDescent="0.25">
      <c r="F69" s="207"/>
      <c r="I69" s="142"/>
      <c r="K69" s="142"/>
      <c r="M69" s="142"/>
      <c r="AD69" s="203"/>
      <c r="AF69" s="203"/>
      <c r="AH69" s="203"/>
    </row>
    <row r="70" spans="1:34" s="141" customFormat="1" x14ac:dyDescent="0.25">
      <c r="F70" s="207"/>
      <c r="I70" s="142"/>
      <c r="K70" s="142"/>
      <c r="M70" s="142"/>
      <c r="AD70" s="203"/>
      <c r="AF70" s="203"/>
      <c r="AH70" s="203"/>
    </row>
    <row r="71" spans="1:34" s="141" customFormat="1" x14ac:dyDescent="0.25">
      <c r="F71" s="207"/>
      <c r="I71" s="142"/>
      <c r="K71" s="142"/>
      <c r="M71" s="142"/>
      <c r="AD71" s="203"/>
      <c r="AF71" s="203"/>
      <c r="AH71" s="203"/>
    </row>
    <row r="72" spans="1:34" s="141" customFormat="1" x14ac:dyDescent="0.25">
      <c r="F72" s="207"/>
      <c r="I72" s="142"/>
      <c r="K72" s="142"/>
      <c r="M72" s="142"/>
      <c r="AD72" s="203"/>
      <c r="AF72" s="203"/>
      <c r="AH72" s="203"/>
    </row>
    <row r="73" spans="1:34" s="141" customFormat="1" x14ac:dyDescent="0.25">
      <c r="F73" s="207"/>
      <c r="I73" s="142"/>
      <c r="K73" s="142"/>
      <c r="M73" s="142"/>
      <c r="AD73" s="203"/>
      <c r="AF73" s="203"/>
      <c r="AH73" s="203"/>
    </row>
    <row r="74" spans="1:34" s="141" customFormat="1" x14ac:dyDescent="0.25">
      <c r="F74" s="207"/>
      <c r="I74" s="142"/>
      <c r="K74" s="142"/>
      <c r="M74" s="142"/>
      <c r="AD74" s="203"/>
      <c r="AF74" s="203"/>
      <c r="AH74" s="203"/>
    </row>
    <row r="75" spans="1:34" s="141" customFormat="1" x14ac:dyDescent="0.25">
      <c r="F75" s="207"/>
      <c r="I75" s="142"/>
      <c r="K75" s="142"/>
      <c r="M75" s="142"/>
      <c r="AD75" s="203"/>
      <c r="AF75" s="203"/>
      <c r="AH75" s="203"/>
    </row>
    <row r="76" spans="1:34" s="141" customFormat="1" x14ac:dyDescent="0.25">
      <c r="F76" s="207"/>
      <c r="I76" s="142"/>
      <c r="K76" s="142"/>
      <c r="M76" s="142"/>
      <c r="AD76" s="203"/>
      <c r="AF76" s="203"/>
      <c r="AH76" s="203"/>
    </row>
    <row r="77" spans="1:34" s="141" customFormat="1" x14ac:dyDescent="0.25">
      <c r="F77" s="207"/>
      <c r="I77" s="142"/>
      <c r="K77" s="142"/>
      <c r="M77" s="142"/>
      <c r="AD77" s="203"/>
      <c r="AF77" s="203"/>
      <c r="AH77" s="203"/>
    </row>
    <row r="78" spans="1:34" s="141" customFormat="1" x14ac:dyDescent="0.25">
      <c r="F78" s="207"/>
      <c r="I78" s="142"/>
      <c r="K78" s="142"/>
      <c r="M78" s="142"/>
      <c r="AD78" s="203"/>
      <c r="AF78" s="203"/>
      <c r="AH78" s="203"/>
    </row>
    <row r="79" spans="1:34" s="141" customFormat="1" x14ac:dyDescent="0.25">
      <c r="F79" s="207"/>
      <c r="I79" s="142"/>
      <c r="K79" s="142"/>
      <c r="M79" s="142"/>
      <c r="AD79" s="203"/>
      <c r="AF79" s="203"/>
      <c r="AH79" s="203"/>
    </row>
    <row r="80" spans="1:34" s="141" customFormat="1" x14ac:dyDescent="0.25">
      <c r="F80" s="207"/>
      <c r="I80" s="142"/>
      <c r="K80" s="142"/>
      <c r="M80" s="142"/>
      <c r="AD80" s="203"/>
      <c r="AF80" s="203"/>
      <c r="AH80" s="203"/>
    </row>
    <row r="81" spans="6:34" s="141" customFormat="1" x14ac:dyDescent="0.25">
      <c r="F81" s="207"/>
      <c r="I81" s="142"/>
      <c r="K81" s="142"/>
      <c r="M81" s="142"/>
      <c r="AD81" s="203"/>
      <c r="AF81" s="203"/>
      <c r="AH81" s="203"/>
    </row>
    <row r="82" spans="6:34" s="141" customFormat="1" x14ac:dyDescent="0.25">
      <c r="F82" s="207"/>
      <c r="I82" s="142"/>
      <c r="K82" s="142"/>
      <c r="M82" s="142"/>
      <c r="AD82" s="203"/>
      <c r="AF82" s="203"/>
      <c r="AH82" s="203"/>
    </row>
    <row r="83" spans="6:34" s="141" customFormat="1" x14ac:dyDescent="0.25">
      <c r="F83" s="207"/>
      <c r="I83" s="142"/>
      <c r="K83" s="142"/>
      <c r="M83" s="142"/>
      <c r="AD83" s="203"/>
      <c r="AF83" s="203"/>
      <c r="AH83" s="203"/>
    </row>
    <row r="84" spans="6:34" s="141" customFormat="1" x14ac:dyDescent="0.25">
      <c r="F84" s="207"/>
      <c r="I84" s="142"/>
      <c r="K84" s="142"/>
      <c r="M84" s="142"/>
      <c r="AD84" s="203"/>
      <c r="AF84" s="203"/>
      <c r="AH84" s="203"/>
    </row>
    <row r="85" spans="6:34" s="141" customFormat="1" x14ac:dyDescent="0.25">
      <c r="F85" s="207"/>
      <c r="I85" s="142"/>
      <c r="K85" s="142"/>
      <c r="M85" s="142"/>
      <c r="AD85" s="203"/>
      <c r="AF85" s="203"/>
      <c r="AH85" s="203"/>
    </row>
    <row r="86" spans="6:34" s="141" customFormat="1" x14ac:dyDescent="0.25">
      <c r="F86" s="207"/>
      <c r="I86" s="142"/>
      <c r="K86" s="142"/>
      <c r="M86" s="142"/>
      <c r="AD86" s="203"/>
      <c r="AF86" s="203"/>
      <c r="AH86" s="203"/>
    </row>
    <row r="87" spans="6:34" s="141" customFormat="1" x14ac:dyDescent="0.25">
      <c r="F87" s="207"/>
      <c r="I87" s="142"/>
      <c r="K87" s="142"/>
      <c r="M87" s="142"/>
      <c r="AD87" s="203"/>
      <c r="AF87" s="203"/>
      <c r="AH87" s="203"/>
    </row>
    <row r="88" spans="6:34" s="141" customFormat="1" x14ac:dyDescent="0.25">
      <c r="F88" s="207"/>
      <c r="I88" s="142"/>
      <c r="K88" s="142"/>
      <c r="M88" s="142"/>
      <c r="AD88" s="203"/>
      <c r="AF88" s="203"/>
      <c r="AH88" s="203"/>
    </row>
    <row r="89" spans="6:34" s="141" customFormat="1" x14ac:dyDescent="0.25">
      <c r="F89" s="207"/>
      <c r="I89" s="142"/>
      <c r="K89" s="142"/>
      <c r="M89" s="142"/>
      <c r="AD89" s="203"/>
      <c r="AF89" s="203"/>
      <c r="AH89" s="203"/>
    </row>
    <row r="90" spans="6:34" s="141" customFormat="1" x14ac:dyDescent="0.25">
      <c r="F90" s="207"/>
      <c r="I90" s="142"/>
      <c r="K90" s="142"/>
      <c r="M90" s="142"/>
      <c r="AD90" s="203"/>
      <c r="AF90" s="203"/>
      <c r="AH90" s="203"/>
    </row>
    <row r="91" spans="6:34" s="141" customFormat="1" x14ac:dyDescent="0.25">
      <c r="F91" s="207"/>
      <c r="I91" s="142"/>
      <c r="K91" s="142"/>
      <c r="M91" s="142"/>
      <c r="AD91" s="203"/>
      <c r="AF91" s="203"/>
      <c r="AH91" s="203"/>
    </row>
    <row r="92" spans="6:34" s="141" customFormat="1" x14ac:dyDescent="0.25">
      <c r="F92" s="207"/>
      <c r="I92" s="142"/>
      <c r="K92" s="142"/>
      <c r="M92" s="142"/>
      <c r="AD92" s="203"/>
      <c r="AF92" s="203"/>
      <c r="AH92" s="203"/>
    </row>
    <row r="93" spans="6:34" s="141" customFormat="1" x14ac:dyDescent="0.25">
      <c r="F93" s="207"/>
      <c r="I93" s="142"/>
      <c r="K93" s="142"/>
      <c r="M93" s="142"/>
      <c r="AD93" s="203"/>
      <c r="AF93" s="203"/>
      <c r="AH93" s="203"/>
    </row>
    <row r="94" spans="6:34" s="141" customFormat="1" x14ac:dyDescent="0.25">
      <c r="F94" s="207"/>
      <c r="I94" s="142"/>
      <c r="K94" s="142"/>
      <c r="M94" s="142"/>
      <c r="AD94" s="203"/>
      <c r="AF94" s="203"/>
      <c r="AH94" s="203"/>
    </row>
    <row r="95" spans="6:34" s="141" customFormat="1" x14ac:dyDescent="0.25">
      <c r="F95" s="207"/>
      <c r="I95" s="142"/>
      <c r="K95" s="142"/>
      <c r="M95" s="142"/>
      <c r="AD95" s="203"/>
      <c r="AF95" s="203"/>
      <c r="AH95" s="203"/>
    </row>
    <row r="96" spans="6:34" s="141" customFormat="1" x14ac:dyDescent="0.25">
      <c r="F96" s="207"/>
      <c r="I96" s="142"/>
      <c r="K96" s="142"/>
      <c r="M96" s="142"/>
      <c r="AD96" s="203"/>
      <c r="AF96" s="203"/>
      <c r="AH96" s="203"/>
    </row>
    <row r="97" spans="6:34" s="141" customFormat="1" x14ac:dyDescent="0.25">
      <c r="F97" s="207"/>
      <c r="I97" s="142"/>
      <c r="K97" s="142"/>
      <c r="M97" s="142"/>
      <c r="AD97" s="203"/>
      <c r="AF97" s="203"/>
      <c r="AH97" s="203"/>
    </row>
    <row r="98" spans="6:34" s="141" customFormat="1" x14ac:dyDescent="0.25">
      <c r="F98" s="207"/>
      <c r="I98" s="142"/>
      <c r="K98" s="142"/>
      <c r="M98" s="142"/>
      <c r="AD98" s="203"/>
      <c r="AF98" s="203"/>
      <c r="AH98" s="203"/>
    </row>
    <row r="99" spans="6:34" s="141" customFormat="1" x14ac:dyDescent="0.25">
      <c r="F99" s="207"/>
      <c r="I99" s="142"/>
      <c r="K99" s="142"/>
      <c r="M99" s="142"/>
      <c r="AD99" s="203"/>
      <c r="AF99" s="203"/>
      <c r="AH99" s="203"/>
    </row>
    <row r="100" spans="6:34" s="141" customFormat="1" x14ac:dyDescent="0.25">
      <c r="F100" s="207"/>
      <c r="I100" s="142"/>
      <c r="K100" s="142"/>
      <c r="M100" s="142"/>
      <c r="AD100" s="203"/>
      <c r="AF100" s="203"/>
      <c r="AH100" s="203"/>
    </row>
    <row r="101" spans="6:34" s="141" customFormat="1" x14ac:dyDescent="0.25">
      <c r="F101" s="207"/>
      <c r="I101" s="142"/>
      <c r="K101" s="142"/>
      <c r="M101" s="142"/>
      <c r="AD101" s="203"/>
      <c r="AF101" s="203"/>
      <c r="AH101" s="203"/>
    </row>
    <row r="102" spans="6:34" s="141" customFormat="1" x14ac:dyDescent="0.25">
      <c r="F102" s="207"/>
      <c r="I102" s="142"/>
      <c r="K102" s="142"/>
      <c r="M102" s="142"/>
      <c r="AD102" s="203"/>
      <c r="AF102" s="203"/>
      <c r="AH102" s="203"/>
    </row>
    <row r="103" spans="6:34" s="141" customFormat="1" x14ac:dyDescent="0.25">
      <c r="F103" s="207"/>
      <c r="I103" s="142"/>
      <c r="K103" s="142"/>
      <c r="M103" s="142"/>
      <c r="AD103" s="203"/>
      <c r="AF103" s="203"/>
      <c r="AH103" s="203"/>
    </row>
    <row r="104" spans="6:34" s="141" customFormat="1" x14ac:dyDescent="0.25">
      <c r="F104" s="207"/>
      <c r="I104" s="142"/>
      <c r="K104" s="142"/>
      <c r="M104" s="142"/>
      <c r="AD104" s="203"/>
      <c r="AF104" s="203"/>
      <c r="AH104" s="203"/>
    </row>
    <row r="105" spans="6:34" s="141" customFormat="1" x14ac:dyDescent="0.25">
      <c r="F105" s="207"/>
      <c r="I105" s="142"/>
      <c r="K105" s="142"/>
      <c r="M105" s="142"/>
      <c r="AD105" s="203"/>
      <c r="AF105" s="203"/>
      <c r="AH105" s="203"/>
    </row>
    <row r="106" spans="6:34" s="141" customFormat="1" x14ac:dyDescent="0.25">
      <c r="F106" s="207"/>
      <c r="I106" s="142"/>
      <c r="K106" s="142"/>
      <c r="M106" s="142"/>
      <c r="AD106" s="203"/>
      <c r="AF106" s="203"/>
      <c r="AH106" s="203"/>
    </row>
    <row r="107" spans="6:34" s="141" customFormat="1" x14ac:dyDescent="0.25">
      <c r="F107" s="207"/>
      <c r="I107" s="142"/>
      <c r="K107" s="142"/>
      <c r="M107" s="142"/>
      <c r="AD107" s="203"/>
      <c r="AF107" s="203"/>
      <c r="AH107" s="203"/>
    </row>
    <row r="108" spans="6:34" s="141" customFormat="1" x14ac:dyDescent="0.25">
      <c r="F108" s="207"/>
      <c r="I108" s="142"/>
      <c r="K108" s="142"/>
      <c r="M108" s="142"/>
      <c r="AD108" s="203"/>
      <c r="AF108" s="203"/>
      <c r="AH108" s="203"/>
    </row>
    <row r="109" spans="6:34" s="141" customFormat="1" x14ac:dyDescent="0.25">
      <c r="F109" s="207"/>
      <c r="I109" s="142"/>
      <c r="K109" s="142"/>
      <c r="M109" s="142"/>
      <c r="AD109" s="203"/>
      <c r="AF109" s="203"/>
      <c r="AH109" s="203"/>
    </row>
    <row r="110" spans="6:34" s="141" customFormat="1" x14ac:dyDescent="0.25">
      <c r="F110" s="207"/>
      <c r="I110" s="142"/>
      <c r="K110" s="142"/>
      <c r="M110" s="142"/>
      <c r="AD110" s="203"/>
      <c r="AF110" s="203"/>
      <c r="AH110" s="203"/>
    </row>
    <row r="111" spans="6:34" s="141" customFormat="1" x14ac:dyDescent="0.25">
      <c r="F111" s="207"/>
      <c r="I111" s="142"/>
      <c r="K111" s="142"/>
      <c r="M111" s="142"/>
      <c r="AD111" s="203"/>
      <c r="AF111" s="203"/>
      <c r="AH111" s="203"/>
    </row>
    <row r="112" spans="6:34" s="141" customFormat="1" x14ac:dyDescent="0.25">
      <c r="F112" s="207"/>
      <c r="I112" s="142"/>
      <c r="K112" s="142"/>
      <c r="M112" s="142"/>
      <c r="AD112" s="203"/>
      <c r="AF112" s="203"/>
      <c r="AH112" s="203"/>
    </row>
  </sheetData>
  <sortState ref="A5:AI66">
    <sortCondition ref="A5:A66"/>
  </sortState>
  <mergeCells count="29">
    <mergeCell ref="AG2:AH2"/>
    <mergeCell ref="AG3:AH3"/>
    <mergeCell ref="E3:E4"/>
    <mergeCell ref="G3:H3"/>
    <mergeCell ref="I2:N2"/>
    <mergeCell ref="I3:J3"/>
    <mergeCell ref="K3:L3"/>
    <mergeCell ref="M3:N3"/>
    <mergeCell ref="F2:F4"/>
    <mergeCell ref="G2:H2"/>
    <mergeCell ref="AE2:AF2"/>
    <mergeCell ref="AE3:AF3"/>
    <mergeCell ref="AC2:AD2"/>
    <mergeCell ref="AC3:AD3"/>
    <mergeCell ref="S3:T3"/>
    <mergeCell ref="O2:T2"/>
    <mergeCell ref="A2:A4"/>
    <mergeCell ref="B2:D2"/>
    <mergeCell ref="B3:B4"/>
    <mergeCell ref="C3:C4"/>
    <mergeCell ref="D3:D4"/>
    <mergeCell ref="O3:P3"/>
    <mergeCell ref="Q3:R3"/>
    <mergeCell ref="AA2:AB2"/>
    <mergeCell ref="AA3:AB3"/>
    <mergeCell ref="U2:Z2"/>
    <mergeCell ref="U3:V3"/>
    <mergeCell ref="W3:X3"/>
    <mergeCell ref="Y3:Z3"/>
  </mergeCells>
  <pageMargins left="0.7" right="0.7" top="0.75" bottom="0.75" header="0.3" footer="0.3"/>
  <pageSetup paperSize="9" scale="53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66"/>
  <sheetViews>
    <sheetView zoomScale="80" zoomScaleNormal="80" workbookViewId="0">
      <selection activeCell="B9" sqref="B9"/>
    </sheetView>
  </sheetViews>
  <sheetFormatPr defaultRowHeight="15" x14ac:dyDescent="0.25"/>
  <cols>
    <col min="1" max="1" width="8.42578125" style="159" customWidth="1"/>
    <col min="2" max="2" width="26.140625" customWidth="1"/>
    <col min="3" max="3" width="7.5703125" customWidth="1"/>
    <col min="5" max="5" width="21.85546875" hidden="1" customWidth="1"/>
    <col min="6" max="6" width="9.140625" style="159"/>
    <col min="7" max="12" width="0" style="113" hidden="1" customWidth="1"/>
    <col min="13" max="42" width="6.7109375" customWidth="1"/>
  </cols>
  <sheetData>
    <row r="1" spans="1:42" ht="15.75" thickBot="1" x14ac:dyDescent="0.3">
      <c r="A1" s="159" t="s">
        <v>253</v>
      </c>
    </row>
    <row r="2" spans="1:42" ht="28.5" customHeight="1" x14ac:dyDescent="0.25">
      <c r="A2" s="321" t="s">
        <v>0</v>
      </c>
      <c r="B2" s="265" t="s">
        <v>1</v>
      </c>
      <c r="C2" s="266"/>
      <c r="D2" s="267"/>
      <c r="E2" s="1" t="s">
        <v>2</v>
      </c>
      <c r="F2" s="352" t="s">
        <v>3</v>
      </c>
      <c r="G2" s="355" t="s">
        <v>191</v>
      </c>
      <c r="H2" s="355"/>
      <c r="I2" s="355"/>
      <c r="J2" s="356"/>
      <c r="K2" s="356"/>
      <c r="L2" s="356"/>
      <c r="M2" s="319" t="s">
        <v>206</v>
      </c>
      <c r="N2" s="320"/>
      <c r="O2" s="320"/>
      <c r="P2" s="320"/>
      <c r="Q2" s="349"/>
      <c r="R2" s="350"/>
      <c r="S2" s="319" t="s">
        <v>207</v>
      </c>
      <c r="T2" s="320"/>
      <c r="U2" s="320"/>
      <c r="V2" s="320"/>
      <c r="W2" s="349"/>
      <c r="X2" s="350"/>
      <c r="Y2" s="319" t="s">
        <v>264</v>
      </c>
      <c r="Z2" s="320"/>
      <c r="AA2" s="320"/>
      <c r="AB2" s="320"/>
      <c r="AC2" s="349"/>
      <c r="AD2" s="350"/>
      <c r="AE2" s="319" t="s">
        <v>241</v>
      </c>
      <c r="AF2" s="320"/>
      <c r="AG2" s="320"/>
      <c r="AH2" s="320"/>
      <c r="AI2" s="349"/>
      <c r="AJ2" s="350"/>
      <c r="AK2" s="319" t="s">
        <v>267</v>
      </c>
      <c r="AL2" s="320"/>
      <c r="AM2" s="320"/>
      <c r="AN2" s="320"/>
      <c r="AO2" s="349"/>
      <c r="AP2" s="350"/>
    </row>
    <row r="3" spans="1:42" x14ac:dyDescent="0.25">
      <c r="A3" s="322"/>
      <c r="B3" s="299" t="s">
        <v>4</v>
      </c>
      <c r="C3" s="301" t="s">
        <v>5</v>
      </c>
      <c r="D3" s="303" t="s">
        <v>6</v>
      </c>
      <c r="E3" s="305" t="s">
        <v>7</v>
      </c>
      <c r="F3" s="353"/>
      <c r="G3" s="357" t="s">
        <v>135</v>
      </c>
      <c r="H3" s="358"/>
      <c r="I3" s="357" t="s">
        <v>134</v>
      </c>
      <c r="J3" s="358"/>
      <c r="K3" s="357" t="s">
        <v>133</v>
      </c>
      <c r="L3" s="358"/>
      <c r="M3" s="290" t="s">
        <v>135</v>
      </c>
      <c r="N3" s="291"/>
      <c r="O3" s="292" t="s">
        <v>134</v>
      </c>
      <c r="P3" s="291"/>
      <c r="Q3" s="292" t="s">
        <v>133</v>
      </c>
      <c r="R3" s="293"/>
      <c r="S3" s="290" t="s">
        <v>135</v>
      </c>
      <c r="T3" s="291"/>
      <c r="U3" s="292" t="s">
        <v>134</v>
      </c>
      <c r="V3" s="291"/>
      <c r="W3" s="292" t="s">
        <v>133</v>
      </c>
      <c r="X3" s="293"/>
      <c r="Y3" s="290" t="s">
        <v>135</v>
      </c>
      <c r="Z3" s="291"/>
      <c r="AA3" s="292" t="s">
        <v>134</v>
      </c>
      <c r="AB3" s="291"/>
      <c r="AC3" s="292" t="s">
        <v>133</v>
      </c>
      <c r="AD3" s="293"/>
      <c r="AE3" s="290" t="s">
        <v>135</v>
      </c>
      <c r="AF3" s="291"/>
      <c r="AG3" s="292" t="s">
        <v>134</v>
      </c>
      <c r="AH3" s="291"/>
      <c r="AI3" s="292" t="s">
        <v>133</v>
      </c>
      <c r="AJ3" s="293"/>
      <c r="AK3" s="290" t="s">
        <v>135</v>
      </c>
      <c r="AL3" s="291"/>
      <c r="AM3" s="292" t="s">
        <v>134</v>
      </c>
      <c r="AN3" s="291"/>
      <c r="AO3" s="292" t="s">
        <v>133</v>
      </c>
      <c r="AP3" s="293"/>
    </row>
    <row r="4" spans="1:42" ht="15.75" thickBot="1" x14ac:dyDescent="0.3">
      <c r="A4" s="351"/>
      <c r="B4" s="300"/>
      <c r="C4" s="302"/>
      <c r="D4" s="304"/>
      <c r="E4" s="306"/>
      <c r="F4" s="354"/>
      <c r="G4" s="45" t="s">
        <v>14</v>
      </c>
      <c r="H4" s="2" t="s">
        <v>15</v>
      </c>
      <c r="I4" s="2" t="s">
        <v>14</v>
      </c>
      <c r="J4" s="2" t="s">
        <v>15</v>
      </c>
      <c r="K4" s="46" t="s">
        <v>14</v>
      </c>
      <c r="L4" s="3" t="s">
        <v>15</v>
      </c>
      <c r="M4" s="45" t="s">
        <v>14</v>
      </c>
      <c r="N4" s="2" t="s">
        <v>15</v>
      </c>
      <c r="O4" s="2" t="s">
        <v>14</v>
      </c>
      <c r="P4" s="2" t="s">
        <v>15</v>
      </c>
      <c r="Q4" s="46" t="s">
        <v>14</v>
      </c>
      <c r="R4" s="3" t="s">
        <v>15</v>
      </c>
      <c r="S4" s="45"/>
      <c r="T4" s="2"/>
      <c r="U4" s="2"/>
      <c r="V4" s="2"/>
      <c r="W4" s="46"/>
      <c r="X4" s="3"/>
      <c r="Y4" s="45" t="s">
        <v>14</v>
      </c>
      <c r="Z4" s="2" t="s">
        <v>15</v>
      </c>
      <c r="AA4" s="2" t="s">
        <v>14</v>
      </c>
      <c r="AB4" s="2" t="s">
        <v>15</v>
      </c>
      <c r="AC4" s="46" t="s">
        <v>14</v>
      </c>
      <c r="AD4" s="3" t="s">
        <v>15</v>
      </c>
      <c r="AE4" s="45" t="s">
        <v>14</v>
      </c>
      <c r="AF4" s="2" t="s">
        <v>15</v>
      </c>
      <c r="AG4" s="2" t="s">
        <v>14</v>
      </c>
      <c r="AH4" s="2" t="s">
        <v>15</v>
      </c>
      <c r="AI4" s="197" t="s">
        <v>14</v>
      </c>
      <c r="AJ4" s="3" t="s">
        <v>15</v>
      </c>
      <c r="AK4" s="45" t="s">
        <v>14</v>
      </c>
      <c r="AL4" s="2" t="s">
        <v>15</v>
      </c>
      <c r="AM4" s="2" t="s">
        <v>14</v>
      </c>
      <c r="AN4" s="2" t="s">
        <v>15</v>
      </c>
      <c r="AO4" s="220" t="s">
        <v>14</v>
      </c>
      <c r="AP4" s="3" t="s">
        <v>15</v>
      </c>
    </row>
    <row r="5" spans="1:42" x14ac:dyDescent="0.25">
      <c r="A5" s="160">
        <f t="shared" ref="A5:A36" si="0">RANK(F5,F$5:F$66,0)</f>
        <v>1</v>
      </c>
      <c r="B5" s="155" t="s">
        <v>125</v>
      </c>
      <c r="C5" s="47">
        <v>2003</v>
      </c>
      <c r="D5" s="48" t="s">
        <v>27</v>
      </c>
      <c r="E5" s="44"/>
      <c r="F5" s="213">
        <f>T5+V5+X5+Z5+AB5+AD5</f>
        <v>1166</v>
      </c>
      <c r="G5" s="56"/>
      <c r="H5" s="56"/>
      <c r="I5" s="56"/>
      <c r="J5" s="56"/>
      <c r="K5" s="56"/>
      <c r="L5" s="56"/>
      <c r="M5" s="37"/>
      <c r="N5" s="5"/>
      <c r="O5" s="29"/>
      <c r="P5" s="5"/>
      <c r="Q5" s="37"/>
      <c r="R5" s="43"/>
      <c r="S5" s="37">
        <v>68.364000000000004</v>
      </c>
      <c r="T5" s="5">
        <f>184+20</f>
        <v>204</v>
      </c>
      <c r="U5" s="29" t="s">
        <v>208</v>
      </c>
      <c r="V5" s="5">
        <f>169+20</f>
        <v>189</v>
      </c>
      <c r="W5" s="37">
        <v>69.430000000000007</v>
      </c>
      <c r="X5" s="43">
        <f>194+20</f>
        <v>214</v>
      </c>
      <c r="Y5" s="37">
        <v>69.847999999999999</v>
      </c>
      <c r="Z5" s="5">
        <v>198</v>
      </c>
      <c r="AA5" s="29">
        <v>69.412000000000006</v>
      </c>
      <c r="AB5" s="5">
        <v>194</v>
      </c>
      <c r="AC5" s="37">
        <v>69.667000000000002</v>
      </c>
      <c r="AD5" s="43">
        <v>167</v>
      </c>
      <c r="AE5" s="37">
        <v>64.948999999999998</v>
      </c>
      <c r="AF5" s="5">
        <f>149+20</f>
        <v>169</v>
      </c>
      <c r="AG5" s="29">
        <v>64.343000000000004</v>
      </c>
      <c r="AH5" s="5">
        <f>143+20</f>
        <v>163</v>
      </c>
      <c r="AI5" s="37">
        <v>66.119</v>
      </c>
      <c r="AJ5" s="43">
        <f>131+20</f>
        <v>151</v>
      </c>
      <c r="AK5" s="37"/>
      <c r="AL5" s="5"/>
      <c r="AM5" s="29"/>
      <c r="AN5" s="5"/>
      <c r="AO5" s="37"/>
      <c r="AP5" s="43"/>
    </row>
    <row r="6" spans="1:42" x14ac:dyDescent="0.25">
      <c r="A6" s="104">
        <f t="shared" si="0"/>
        <v>2</v>
      </c>
      <c r="B6" s="155" t="s">
        <v>115</v>
      </c>
      <c r="C6" s="47">
        <v>2003</v>
      </c>
      <c r="D6" s="48" t="s">
        <v>27</v>
      </c>
      <c r="E6" s="44"/>
      <c r="F6" s="214">
        <f>T6+V6+X6+Z6+AB6+AD6</f>
        <v>1124</v>
      </c>
      <c r="G6" s="56"/>
      <c r="H6" s="56"/>
      <c r="I6" s="56"/>
      <c r="J6" s="56"/>
      <c r="K6" s="56"/>
      <c r="L6" s="56"/>
      <c r="M6" s="37">
        <v>64.040000000000006</v>
      </c>
      <c r="N6" s="5">
        <f>140+10</f>
        <v>150</v>
      </c>
      <c r="O6" s="29">
        <v>66.52</v>
      </c>
      <c r="P6" s="5">
        <f>165+10</f>
        <v>175</v>
      </c>
      <c r="Q6" s="37">
        <v>66.53</v>
      </c>
      <c r="R6" s="43">
        <f>135+10</f>
        <v>145</v>
      </c>
      <c r="S6" s="37" t="s">
        <v>208</v>
      </c>
      <c r="T6" s="5">
        <f>169+20</f>
        <v>189</v>
      </c>
      <c r="U6" s="29">
        <v>66.5</v>
      </c>
      <c r="V6" s="5">
        <f>165+20</f>
        <v>185</v>
      </c>
      <c r="W6" s="37">
        <v>67.37</v>
      </c>
      <c r="X6" s="43">
        <f>174+20</f>
        <v>194</v>
      </c>
      <c r="Y6" s="37">
        <v>67.929000000000002</v>
      </c>
      <c r="Z6" s="5">
        <v>179</v>
      </c>
      <c r="AA6" s="29">
        <v>69.902000000000001</v>
      </c>
      <c r="AB6" s="5">
        <v>199</v>
      </c>
      <c r="AC6" s="37">
        <v>70.841999999999999</v>
      </c>
      <c r="AD6" s="43">
        <v>178</v>
      </c>
      <c r="AE6" s="37"/>
      <c r="AF6" s="5"/>
      <c r="AG6" s="29"/>
      <c r="AH6" s="5"/>
      <c r="AI6" s="37"/>
      <c r="AJ6" s="43"/>
      <c r="AK6" s="37">
        <v>64.394000000000005</v>
      </c>
      <c r="AL6" s="5">
        <f>144+10</f>
        <v>154</v>
      </c>
      <c r="AM6" s="29">
        <v>64.265000000000001</v>
      </c>
      <c r="AN6" s="5">
        <f>143+10</f>
        <v>153</v>
      </c>
      <c r="AO6" s="37">
        <v>65.155000000000001</v>
      </c>
      <c r="AP6" s="43">
        <f>122+10</f>
        <v>132</v>
      </c>
    </row>
    <row r="7" spans="1:42" x14ac:dyDescent="0.25">
      <c r="A7" s="104">
        <f t="shared" si="0"/>
        <v>3</v>
      </c>
      <c r="B7" s="157" t="s">
        <v>129</v>
      </c>
      <c r="C7" s="49">
        <v>2005</v>
      </c>
      <c r="D7" s="50" t="s">
        <v>27</v>
      </c>
      <c r="E7" s="6"/>
      <c r="F7" s="215">
        <f>N7+P7+R7+AL7+AN7+AP7</f>
        <v>1092</v>
      </c>
      <c r="G7" s="56"/>
      <c r="H7" s="56"/>
      <c r="I7" s="56"/>
      <c r="J7" s="56"/>
      <c r="K7" s="56"/>
      <c r="L7" s="56"/>
      <c r="M7" s="38">
        <v>67.221999999999994</v>
      </c>
      <c r="N7" s="4">
        <f>172+10</f>
        <v>182</v>
      </c>
      <c r="O7" s="30">
        <v>67.254999999999995</v>
      </c>
      <c r="P7" s="4">
        <f>173+10</f>
        <v>183</v>
      </c>
      <c r="Q7" s="38">
        <v>69.375</v>
      </c>
      <c r="R7" s="7">
        <f>164+10</f>
        <v>174</v>
      </c>
      <c r="S7" s="38"/>
      <c r="T7" s="4"/>
      <c r="U7" s="30"/>
      <c r="V7" s="4"/>
      <c r="W7" s="38"/>
      <c r="X7" s="7"/>
      <c r="Y7" s="38">
        <v>66.313000000000002</v>
      </c>
      <c r="Z7" s="4">
        <v>163</v>
      </c>
      <c r="AA7" s="30">
        <v>65.293999999999997</v>
      </c>
      <c r="AB7" s="4">
        <v>153</v>
      </c>
      <c r="AC7" s="38">
        <v>64.367000000000004</v>
      </c>
      <c r="AD7" s="7">
        <v>114</v>
      </c>
      <c r="AE7" s="38"/>
      <c r="AF7" s="4"/>
      <c r="AG7" s="30"/>
      <c r="AH7" s="4"/>
      <c r="AI7" s="38"/>
      <c r="AJ7" s="7"/>
      <c r="AK7" s="38">
        <v>67.525000000000006</v>
      </c>
      <c r="AL7" s="4">
        <f>175+10</f>
        <v>185</v>
      </c>
      <c r="AM7" s="30">
        <v>66.960999999999999</v>
      </c>
      <c r="AN7" s="4">
        <f>170+10</f>
        <v>180</v>
      </c>
      <c r="AO7" s="38">
        <v>70.784999999999997</v>
      </c>
      <c r="AP7" s="7">
        <f>178+10</f>
        <v>188</v>
      </c>
    </row>
    <row r="8" spans="1:42" x14ac:dyDescent="0.25">
      <c r="A8" s="104">
        <f t="shared" si="0"/>
        <v>4</v>
      </c>
      <c r="B8" s="156" t="s">
        <v>209</v>
      </c>
      <c r="C8" s="49">
        <v>2005</v>
      </c>
      <c r="D8" s="50" t="s">
        <v>19</v>
      </c>
      <c r="E8" s="6"/>
      <c r="F8" s="215">
        <f>Z8+AB8+AD8+AL8+AN8+AP8</f>
        <v>1063</v>
      </c>
      <c r="G8" s="56"/>
      <c r="H8" s="56"/>
      <c r="I8" s="56"/>
      <c r="J8" s="56"/>
      <c r="K8" s="56"/>
      <c r="L8" s="56"/>
      <c r="M8" s="38"/>
      <c r="N8" s="4"/>
      <c r="O8" s="30"/>
      <c r="P8" s="4"/>
      <c r="Q8" s="38"/>
      <c r="R8" s="7"/>
      <c r="S8" s="38">
        <v>63.363999999999997</v>
      </c>
      <c r="T8" s="4">
        <f>134+20</f>
        <v>154</v>
      </c>
      <c r="U8" s="30">
        <v>61.293999999999997</v>
      </c>
      <c r="V8" s="4">
        <f>113+20</f>
        <v>133</v>
      </c>
      <c r="W8" s="38"/>
      <c r="X8" s="7"/>
      <c r="Y8" s="38">
        <v>68.131</v>
      </c>
      <c r="Z8" s="4">
        <v>181</v>
      </c>
      <c r="AA8" s="30">
        <v>68.676000000000002</v>
      </c>
      <c r="AB8" s="4">
        <v>187</v>
      </c>
      <c r="AC8" s="38">
        <v>69.233000000000004</v>
      </c>
      <c r="AD8" s="7">
        <v>162</v>
      </c>
      <c r="AE8" s="38"/>
      <c r="AF8" s="4"/>
      <c r="AG8" s="30"/>
      <c r="AH8" s="4"/>
      <c r="AI8" s="38"/>
      <c r="AJ8" s="7"/>
      <c r="AK8" s="38">
        <v>67.879000000000005</v>
      </c>
      <c r="AL8" s="4">
        <f>179+10</f>
        <v>189</v>
      </c>
      <c r="AM8" s="30">
        <v>67.745000000000005</v>
      </c>
      <c r="AN8" s="4">
        <f>177+10</f>
        <v>187</v>
      </c>
      <c r="AO8" s="38">
        <v>67.73</v>
      </c>
      <c r="AP8" s="7">
        <f>147+10</f>
        <v>157</v>
      </c>
    </row>
    <row r="9" spans="1:42" x14ac:dyDescent="0.25">
      <c r="A9" s="104">
        <f t="shared" si="0"/>
        <v>5</v>
      </c>
      <c r="B9" s="156" t="s">
        <v>109</v>
      </c>
      <c r="C9" s="49">
        <v>2004</v>
      </c>
      <c r="D9" s="50" t="s">
        <v>27</v>
      </c>
      <c r="E9" s="6"/>
      <c r="F9" s="215">
        <f>X9+Z9+AB9+AD9+AF9+AN9</f>
        <v>1049</v>
      </c>
      <c r="G9" s="56"/>
      <c r="H9" s="56"/>
      <c r="I9" s="56"/>
      <c r="J9" s="56"/>
      <c r="K9" s="56"/>
      <c r="L9" s="56"/>
      <c r="M9" s="38">
        <v>63.081000000000003</v>
      </c>
      <c r="N9" s="4">
        <f>131+10</f>
        <v>141</v>
      </c>
      <c r="O9" s="30">
        <v>64.510000000000005</v>
      </c>
      <c r="P9" s="4">
        <f>145+10</f>
        <v>155</v>
      </c>
      <c r="Q9" s="38">
        <v>64.534999999999997</v>
      </c>
      <c r="R9" s="7">
        <f>115+10</f>
        <v>125</v>
      </c>
      <c r="S9" s="38">
        <v>60.393999999999998</v>
      </c>
      <c r="T9" s="4">
        <f>104+20</f>
        <v>124</v>
      </c>
      <c r="U9" s="30">
        <v>62.5</v>
      </c>
      <c r="V9" s="4">
        <f>125+20</f>
        <v>145</v>
      </c>
      <c r="W9" s="38">
        <v>67.385000000000005</v>
      </c>
      <c r="X9" s="7">
        <f>174+20</f>
        <v>194</v>
      </c>
      <c r="Y9" s="38">
        <v>67.120999999999995</v>
      </c>
      <c r="Z9" s="4">
        <v>171</v>
      </c>
      <c r="AA9" s="30">
        <v>68.724999999999994</v>
      </c>
      <c r="AB9" s="4">
        <v>187</v>
      </c>
      <c r="AC9" s="38">
        <v>69.5</v>
      </c>
      <c r="AD9" s="7">
        <v>165</v>
      </c>
      <c r="AE9" s="38">
        <v>63.686999999999998</v>
      </c>
      <c r="AF9" s="4">
        <f>137+20</f>
        <v>157</v>
      </c>
      <c r="AG9" s="30">
        <v>63.332999999999998</v>
      </c>
      <c r="AH9" s="4">
        <f>133+20</f>
        <v>153</v>
      </c>
      <c r="AI9" s="38">
        <v>65.984999999999999</v>
      </c>
      <c r="AJ9" s="7">
        <f>130+20</f>
        <v>150</v>
      </c>
      <c r="AK9" s="38">
        <v>62.677</v>
      </c>
      <c r="AL9" s="4">
        <f>127+10</f>
        <v>137</v>
      </c>
      <c r="AM9" s="30">
        <v>66.52</v>
      </c>
      <c r="AN9" s="4">
        <f>165+10</f>
        <v>175</v>
      </c>
      <c r="AO9" s="38">
        <v>65.099999999999994</v>
      </c>
      <c r="AP9" s="7">
        <f>121+10</f>
        <v>131</v>
      </c>
    </row>
    <row r="10" spans="1:42" x14ac:dyDescent="0.25">
      <c r="A10" s="104">
        <f t="shared" si="0"/>
        <v>6</v>
      </c>
      <c r="B10" s="157" t="s">
        <v>107</v>
      </c>
      <c r="C10" s="49">
        <v>2003</v>
      </c>
      <c r="D10" s="50" t="s">
        <v>19</v>
      </c>
      <c r="E10" s="6"/>
      <c r="F10" s="215">
        <f>Z10+AB10+AD10+AL10+AN10+AP10</f>
        <v>1031</v>
      </c>
      <c r="G10" s="56"/>
      <c r="H10" s="56"/>
      <c r="I10" s="56"/>
      <c r="J10" s="56"/>
      <c r="K10" s="56"/>
      <c r="L10" s="56"/>
      <c r="M10" s="38"/>
      <c r="N10" s="4"/>
      <c r="O10" s="30"/>
      <c r="P10" s="4"/>
      <c r="Q10" s="38"/>
      <c r="R10" s="7"/>
      <c r="S10" s="38"/>
      <c r="T10" s="4"/>
      <c r="U10" s="30"/>
      <c r="V10" s="4"/>
      <c r="W10" s="38"/>
      <c r="X10" s="7"/>
      <c r="Y10" s="38">
        <v>70.302999999999997</v>
      </c>
      <c r="Z10" s="4">
        <v>203</v>
      </c>
      <c r="AA10" s="30">
        <v>70.686000000000007</v>
      </c>
      <c r="AB10" s="4">
        <v>207</v>
      </c>
      <c r="AC10" s="38">
        <v>71.216999999999999</v>
      </c>
      <c r="AD10" s="7">
        <v>172</v>
      </c>
      <c r="AE10" s="38"/>
      <c r="AF10" s="4"/>
      <c r="AG10" s="30"/>
      <c r="AH10" s="4"/>
      <c r="AI10" s="38"/>
      <c r="AJ10" s="7"/>
      <c r="AK10" s="38">
        <v>63.534999999999997</v>
      </c>
      <c r="AL10" s="4">
        <f>135+10</f>
        <v>145</v>
      </c>
      <c r="AM10" s="30">
        <v>64.215999999999994</v>
      </c>
      <c r="AN10" s="4">
        <f>142+10</f>
        <v>152</v>
      </c>
      <c r="AO10" s="38">
        <v>67.215000000000003</v>
      </c>
      <c r="AP10" s="7">
        <f>142+10</f>
        <v>152</v>
      </c>
    </row>
    <row r="11" spans="1:42" x14ac:dyDescent="0.25">
      <c r="A11" s="104">
        <f t="shared" si="0"/>
        <v>7</v>
      </c>
      <c r="B11" s="156" t="s">
        <v>130</v>
      </c>
      <c r="C11" s="49">
        <v>2005</v>
      </c>
      <c r="D11" s="50" t="s">
        <v>27</v>
      </c>
      <c r="E11" s="6"/>
      <c r="F11" s="215">
        <f>N11+Z11+AB11+AL11+AN11+AP11</f>
        <v>1027</v>
      </c>
      <c r="G11" s="56"/>
      <c r="H11" s="56"/>
      <c r="I11" s="56"/>
      <c r="J11" s="56"/>
      <c r="K11" s="56"/>
      <c r="L11" s="56"/>
      <c r="M11" s="38">
        <v>63.889000000000003</v>
      </c>
      <c r="N11" s="4">
        <f>139+10</f>
        <v>149</v>
      </c>
      <c r="O11" s="30">
        <v>60.9</v>
      </c>
      <c r="P11" s="4">
        <f>109+10</f>
        <v>119</v>
      </c>
      <c r="Q11" s="38">
        <v>64.14</v>
      </c>
      <c r="R11" s="7">
        <f>111+10</f>
        <v>121</v>
      </c>
      <c r="S11" s="38"/>
      <c r="T11" s="4"/>
      <c r="U11" s="30"/>
      <c r="V11" s="4"/>
      <c r="W11" s="38"/>
      <c r="X11" s="7"/>
      <c r="Y11" s="38">
        <v>65.353999999999999</v>
      </c>
      <c r="Z11" s="4">
        <v>154</v>
      </c>
      <c r="AA11" s="30">
        <v>66.471000000000004</v>
      </c>
      <c r="AB11" s="4">
        <v>165</v>
      </c>
      <c r="AC11" s="38">
        <v>66.207999999999998</v>
      </c>
      <c r="AD11" s="7">
        <v>132</v>
      </c>
      <c r="AE11" s="38"/>
      <c r="AF11" s="4"/>
      <c r="AG11" s="30"/>
      <c r="AH11" s="4"/>
      <c r="AI11" s="38"/>
      <c r="AJ11" s="7"/>
      <c r="AK11" s="38">
        <v>66.667000000000002</v>
      </c>
      <c r="AL11" s="4">
        <f>167+10</f>
        <v>177</v>
      </c>
      <c r="AM11" s="30">
        <v>69.02</v>
      </c>
      <c r="AN11" s="4">
        <f>190+10</f>
        <v>200</v>
      </c>
      <c r="AO11" s="38">
        <v>70.165000000000006</v>
      </c>
      <c r="AP11" s="7">
        <f>172+10</f>
        <v>182</v>
      </c>
    </row>
    <row r="12" spans="1:42" x14ac:dyDescent="0.25">
      <c r="A12" s="104">
        <f t="shared" si="0"/>
        <v>8</v>
      </c>
      <c r="B12" s="156" t="s">
        <v>113</v>
      </c>
      <c r="C12" s="51">
        <v>2004</v>
      </c>
      <c r="D12" s="51" t="s">
        <v>27</v>
      </c>
      <c r="E12" s="6"/>
      <c r="F12" s="215">
        <f>N12+P12+R12+Z12+AB12+AD12</f>
        <v>990</v>
      </c>
      <c r="G12" s="56"/>
      <c r="H12" s="56"/>
      <c r="I12" s="56"/>
      <c r="J12" s="56"/>
      <c r="K12" s="56"/>
      <c r="L12" s="56"/>
      <c r="M12" s="38">
        <v>65.757999999999996</v>
      </c>
      <c r="N12" s="4">
        <f>158+10</f>
        <v>168</v>
      </c>
      <c r="O12" s="30">
        <v>64.804000000000002</v>
      </c>
      <c r="P12" s="4">
        <f>148+10</f>
        <v>158</v>
      </c>
      <c r="Q12" s="38">
        <v>67.05</v>
      </c>
      <c r="R12" s="7">
        <f>141+10</f>
        <v>151</v>
      </c>
      <c r="S12" s="38"/>
      <c r="T12" s="4"/>
      <c r="U12" s="30"/>
      <c r="V12" s="4"/>
      <c r="W12" s="38"/>
      <c r="X12" s="7"/>
      <c r="Y12" s="38">
        <v>67.373999999999995</v>
      </c>
      <c r="Z12" s="4">
        <v>174</v>
      </c>
      <c r="AA12" s="30">
        <v>68.873000000000005</v>
      </c>
      <c r="AB12" s="4">
        <v>189</v>
      </c>
      <c r="AC12" s="38">
        <v>68.033000000000001</v>
      </c>
      <c r="AD12" s="7">
        <v>150</v>
      </c>
      <c r="AE12" s="38"/>
      <c r="AF12" s="4"/>
      <c r="AG12" s="30"/>
      <c r="AH12" s="4"/>
      <c r="AI12" s="38"/>
      <c r="AJ12" s="7"/>
      <c r="AK12" s="38"/>
      <c r="AL12" s="4"/>
      <c r="AM12" s="30"/>
      <c r="AN12" s="4"/>
      <c r="AO12" s="38"/>
      <c r="AP12" s="7"/>
    </row>
    <row r="13" spans="1:42" x14ac:dyDescent="0.25">
      <c r="A13" s="104">
        <f t="shared" si="0"/>
        <v>9</v>
      </c>
      <c r="B13" s="156" t="s">
        <v>189</v>
      </c>
      <c r="C13" s="51">
        <v>2004</v>
      </c>
      <c r="D13" s="51" t="s">
        <v>27</v>
      </c>
      <c r="E13" s="6"/>
      <c r="F13" s="215">
        <f>N13+R13+Z13+AD13+AL13+AN13</f>
        <v>982</v>
      </c>
      <c r="G13" s="56"/>
      <c r="H13" s="56"/>
      <c r="I13" s="56"/>
      <c r="J13" s="56"/>
      <c r="K13" s="56"/>
      <c r="L13" s="56"/>
      <c r="M13" s="38">
        <v>64.646000000000001</v>
      </c>
      <c r="N13" s="4">
        <f>146+10</f>
        <v>156</v>
      </c>
      <c r="O13" s="30">
        <v>60.539000000000001</v>
      </c>
      <c r="P13" s="4">
        <f>105+10</f>
        <v>115</v>
      </c>
      <c r="Q13" s="38">
        <v>67.254999999999995</v>
      </c>
      <c r="R13" s="7">
        <f>143+10</f>
        <v>153</v>
      </c>
      <c r="S13" s="38"/>
      <c r="T13" s="4"/>
      <c r="U13" s="30"/>
      <c r="V13" s="4"/>
      <c r="W13" s="38"/>
      <c r="X13" s="7"/>
      <c r="Y13" s="38">
        <v>67.322999999999993</v>
      </c>
      <c r="Z13" s="4">
        <v>173</v>
      </c>
      <c r="AA13" s="30">
        <v>64.852999999999994</v>
      </c>
      <c r="AB13" s="4">
        <v>149</v>
      </c>
      <c r="AC13" s="38">
        <v>68.783000000000001</v>
      </c>
      <c r="AD13" s="7">
        <v>158</v>
      </c>
      <c r="AE13" s="38"/>
      <c r="AF13" s="4"/>
      <c r="AG13" s="30"/>
      <c r="AH13" s="4"/>
      <c r="AI13" s="38"/>
      <c r="AJ13" s="7"/>
      <c r="AK13" s="38">
        <v>67.272999999999996</v>
      </c>
      <c r="AL13" s="4">
        <f>173+10</f>
        <v>183</v>
      </c>
      <c r="AM13" s="30">
        <v>64.902000000000001</v>
      </c>
      <c r="AN13" s="4">
        <f>149+10</f>
        <v>159</v>
      </c>
      <c r="AO13" s="38">
        <v>67.314999999999998</v>
      </c>
      <c r="AP13" s="7">
        <f>143+10</f>
        <v>153</v>
      </c>
    </row>
    <row r="14" spans="1:42" x14ac:dyDescent="0.25">
      <c r="A14" s="104">
        <f t="shared" si="0"/>
        <v>10</v>
      </c>
      <c r="B14" s="156" t="s">
        <v>85</v>
      </c>
      <c r="C14" s="51">
        <v>2005</v>
      </c>
      <c r="D14" s="51" t="s">
        <v>27</v>
      </c>
      <c r="E14" s="6"/>
      <c r="F14" s="215">
        <f>N14+P14+R14+Z14+AB14+AD14</f>
        <v>972</v>
      </c>
      <c r="G14" s="56"/>
      <c r="H14" s="56"/>
      <c r="I14" s="56"/>
      <c r="J14" s="56"/>
      <c r="K14" s="56"/>
      <c r="L14" s="56"/>
      <c r="M14" s="38">
        <v>64.948999999999998</v>
      </c>
      <c r="N14" s="4">
        <f>149+10</f>
        <v>159</v>
      </c>
      <c r="O14" s="30">
        <v>65.441000000000003</v>
      </c>
      <c r="P14" s="4">
        <f>164+10</f>
        <v>174</v>
      </c>
      <c r="Q14" s="38">
        <v>63.015000000000001</v>
      </c>
      <c r="R14" s="7">
        <f>100+10</f>
        <v>110</v>
      </c>
      <c r="S14" s="38"/>
      <c r="T14" s="4"/>
      <c r="U14" s="30"/>
      <c r="V14" s="4"/>
      <c r="W14" s="38"/>
      <c r="X14" s="7"/>
      <c r="Y14" s="38">
        <v>66.768000000000001</v>
      </c>
      <c r="Z14" s="4">
        <v>168</v>
      </c>
      <c r="AA14" s="30">
        <v>64.804000000000002</v>
      </c>
      <c r="AB14" s="4">
        <v>198</v>
      </c>
      <c r="AC14" s="38">
        <v>69.275000000000006</v>
      </c>
      <c r="AD14" s="7">
        <v>163</v>
      </c>
      <c r="AE14" s="38"/>
      <c r="AF14" s="4"/>
      <c r="AG14" s="30"/>
      <c r="AH14" s="4"/>
      <c r="AI14" s="38"/>
      <c r="AJ14" s="7"/>
      <c r="AK14" s="38"/>
      <c r="AL14" s="4"/>
      <c r="AM14" s="30"/>
      <c r="AN14" s="4"/>
      <c r="AO14" s="38"/>
      <c r="AP14" s="7"/>
    </row>
    <row r="15" spans="1:42" x14ac:dyDescent="0.25">
      <c r="A15" s="104">
        <f t="shared" si="0"/>
        <v>11</v>
      </c>
      <c r="B15" s="157" t="s">
        <v>98</v>
      </c>
      <c r="C15" s="49">
        <v>2005</v>
      </c>
      <c r="D15" s="50" t="s">
        <v>27</v>
      </c>
      <c r="E15" s="6"/>
      <c r="F15" s="215">
        <f>Z15+AB15+AD15+AL15+AN15+AP15</f>
        <v>851</v>
      </c>
      <c r="G15" s="56"/>
      <c r="H15" s="56"/>
      <c r="I15" s="56"/>
      <c r="J15" s="56"/>
      <c r="K15" s="56"/>
      <c r="L15" s="56"/>
      <c r="M15" s="38"/>
      <c r="N15" s="4"/>
      <c r="O15" s="30"/>
      <c r="P15" s="4"/>
      <c r="Q15" s="38"/>
      <c r="R15" s="7"/>
      <c r="S15" s="38"/>
      <c r="T15" s="4"/>
      <c r="U15" s="30"/>
      <c r="V15" s="4"/>
      <c r="W15" s="38"/>
      <c r="X15" s="7"/>
      <c r="Y15" s="38">
        <v>64.646000000000001</v>
      </c>
      <c r="Z15" s="4">
        <v>146</v>
      </c>
      <c r="AA15" s="30">
        <v>65.489999999999995</v>
      </c>
      <c r="AB15" s="4">
        <v>155</v>
      </c>
      <c r="AC15" s="38">
        <v>66.674999999999997</v>
      </c>
      <c r="AD15" s="7">
        <v>137</v>
      </c>
      <c r="AE15" s="38"/>
      <c r="AF15" s="4"/>
      <c r="AG15" s="30"/>
      <c r="AH15" s="4"/>
      <c r="AI15" s="38"/>
      <c r="AJ15" s="7"/>
      <c r="AK15" s="38">
        <v>64.899000000000001</v>
      </c>
      <c r="AL15" s="4">
        <f>149+10</f>
        <v>159</v>
      </c>
      <c r="AM15" s="30">
        <v>63.774000000000001</v>
      </c>
      <c r="AN15" s="4">
        <f>138+10</f>
        <v>148</v>
      </c>
      <c r="AO15" s="38">
        <v>62.62</v>
      </c>
      <c r="AP15" s="7">
        <f>96+10</f>
        <v>106</v>
      </c>
    </row>
    <row r="16" spans="1:42" x14ac:dyDescent="0.25">
      <c r="A16" s="104">
        <f t="shared" si="0"/>
        <v>12</v>
      </c>
      <c r="B16" s="156" t="s">
        <v>123</v>
      </c>
      <c r="C16" s="49">
        <v>2004</v>
      </c>
      <c r="D16" s="50">
        <v>1</v>
      </c>
      <c r="E16" s="6"/>
      <c r="F16" s="215">
        <f>Z16+AB16+AD16+AL16+AN16+AP16</f>
        <v>836</v>
      </c>
      <c r="G16" s="56"/>
      <c r="H16" s="56"/>
      <c r="I16" s="56"/>
      <c r="J16" s="56"/>
      <c r="K16" s="56"/>
      <c r="L16" s="56"/>
      <c r="M16" s="38"/>
      <c r="N16" s="4"/>
      <c r="O16" s="30"/>
      <c r="P16" s="4"/>
      <c r="Q16" s="30"/>
      <c r="R16" s="4"/>
      <c r="S16" s="38"/>
      <c r="T16" s="4"/>
      <c r="U16" s="30"/>
      <c r="V16" s="4"/>
      <c r="W16" s="30"/>
      <c r="X16" s="4"/>
      <c r="Y16" s="38">
        <v>65.808000000000007</v>
      </c>
      <c r="Z16" s="4">
        <v>158</v>
      </c>
      <c r="AA16" s="30">
        <v>65.587999999999994</v>
      </c>
      <c r="AB16" s="4">
        <v>156</v>
      </c>
      <c r="AC16" s="30">
        <v>66.492000000000004</v>
      </c>
      <c r="AD16" s="4">
        <v>135</v>
      </c>
      <c r="AE16" s="38"/>
      <c r="AF16" s="4"/>
      <c r="AG16" s="30"/>
      <c r="AH16" s="4"/>
      <c r="AI16" s="30"/>
      <c r="AJ16" s="4"/>
      <c r="AK16" s="38">
        <v>62.02</v>
      </c>
      <c r="AL16" s="4">
        <f>120+10</f>
        <v>130</v>
      </c>
      <c r="AM16" s="30">
        <v>60.48</v>
      </c>
      <c r="AN16" s="4">
        <f>105+10</f>
        <v>115</v>
      </c>
      <c r="AO16" s="30">
        <v>66.245000000000005</v>
      </c>
      <c r="AP16" s="4">
        <f>132+10</f>
        <v>142</v>
      </c>
    </row>
    <row r="17" spans="1:42" x14ac:dyDescent="0.25">
      <c r="A17" s="104">
        <f t="shared" si="0"/>
        <v>13</v>
      </c>
      <c r="B17" s="157" t="s">
        <v>132</v>
      </c>
      <c r="C17" s="49">
        <v>2004</v>
      </c>
      <c r="D17" s="50" t="s">
        <v>27</v>
      </c>
      <c r="E17" s="6"/>
      <c r="F17" s="215">
        <f>Z17+AB17+AL17+AN17+AP17</f>
        <v>828</v>
      </c>
      <c r="G17" s="56"/>
      <c r="H17" s="56"/>
      <c r="I17" s="56"/>
      <c r="J17" s="56"/>
      <c r="K17" s="56"/>
      <c r="L17" s="56"/>
      <c r="M17" s="38"/>
      <c r="N17" s="4"/>
      <c r="O17" s="30"/>
      <c r="P17" s="4"/>
      <c r="Q17" s="30"/>
      <c r="R17" s="4"/>
      <c r="S17" s="38"/>
      <c r="T17" s="4"/>
      <c r="U17" s="30"/>
      <c r="V17" s="4"/>
      <c r="W17" s="30"/>
      <c r="X17" s="4"/>
      <c r="Y17" s="38">
        <v>67.171999999999997</v>
      </c>
      <c r="Z17" s="4">
        <v>172</v>
      </c>
      <c r="AA17" s="30">
        <v>67.206000000000003</v>
      </c>
      <c r="AB17" s="4">
        <v>172</v>
      </c>
      <c r="AC17" s="30"/>
      <c r="AD17" s="4"/>
      <c r="AE17" s="38"/>
      <c r="AF17" s="4"/>
      <c r="AG17" s="30"/>
      <c r="AH17" s="4"/>
      <c r="AI17" s="30"/>
      <c r="AJ17" s="4"/>
      <c r="AK17" s="38">
        <v>66.817999999999998</v>
      </c>
      <c r="AL17" s="4">
        <f>168+10</f>
        <v>178</v>
      </c>
      <c r="AM17" s="30">
        <v>64.950999999999993</v>
      </c>
      <c r="AN17" s="4">
        <f>150+10</f>
        <v>160</v>
      </c>
      <c r="AO17" s="30">
        <v>66.62</v>
      </c>
      <c r="AP17" s="4">
        <f>136+10</f>
        <v>146</v>
      </c>
    </row>
    <row r="18" spans="1:42" x14ac:dyDescent="0.25">
      <c r="A18" s="104">
        <f t="shared" si="0"/>
        <v>14</v>
      </c>
      <c r="B18" s="156" t="s">
        <v>97</v>
      </c>
      <c r="C18" s="49">
        <v>2004</v>
      </c>
      <c r="D18" s="50" t="s">
        <v>19</v>
      </c>
      <c r="E18" s="6"/>
      <c r="F18" s="215">
        <f>Z18+AB18+AD18+AF18+AH18</f>
        <v>761</v>
      </c>
      <c r="G18" s="56"/>
      <c r="H18" s="56"/>
      <c r="I18" s="56"/>
      <c r="J18" s="56"/>
      <c r="K18" s="56"/>
      <c r="L18" s="56"/>
      <c r="M18" s="38"/>
      <c r="N18" s="4"/>
      <c r="O18" s="30"/>
      <c r="P18" s="4"/>
      <c r="Q18" s="30"/>
      <c r="R18" s="4"/>
      <c r="S18" s="38"/>
      <c r="T18" s="4"/>
      <c r="U18" s="30"/>
      <c r="V18" s="4"/>
      <c r="W18" s="30"/>
      <c r="X18" s="4"/>
      <c r="Y18" s="38">
        <v>67.424000000000007</v>
      </c>
      <c r="Z18" s="4">
        <v>174</v>
      </c>
      <c r="AA18" s="30">
        <v>68.332999999999998</v>
      </c>
      <c r="AB18" s="4">
        <v>183</v>
      </c>
      <c r="AC18" s="30">
        <v>68.867000000000004</v>
      </c>
      <c r="AD18" s="4">
        <v>159</v>
      </c>
      <c r="AE18" s="38">
        <v>61.566000000000003</v>
      </c>
      <c r="AF18" s="4">
        <f>116+20</f>
        <v>136</v>
      </c>
      <c r="AG18" s="30">
        <v>58.872999999999998</v>
      </c>
      <c r="AH18" s="4">
        <f>89+20</f>
        <v>109</v>
      </c>
      <c r="AI18" s="30"/>
      <c r="AJ18" s="4"/>
      <c r="AK18" s="38"/>
      <c r="AL18" s="4"/>
      <c r="AM18" s="30"/>
      <c r="AN18" s="4"/>
      <c r="AO18" s="30"/>
      <c r="AP18" s="4"/>
    </row>
    <row r="19" spans="1:42" x14ac:dyDescent="0.25">
      <c r="A19" s="104">
        <f t="shared" si="0"/>
        <v>15</v>
      </c>
      <c r="B19" s="156" t="s">
        <v>190</v>
      </c>
      <c r="C19" s="51">
        <v>2004</v>
      </c>
      <c r="D19" s="51" t="s">
        <v>27</v>
      </c>
      <c r="E19" s="6"/>
      <c r="F19" s="215">
        <f>N19+P19+R19+Z19+AB19</f>
        <v>614</v>
      </c>
      <c r="G19" s="56"/>
      <c r="H19" s="56"/>
      <c r="I19" s="56"/>
      <c r="J19" s="56"/>
      <c r="K19" s="56"/>
      <c r="L19" s="56"/>
      <c r="M19" s="38">
        <v>62.070999999999998</v>
      </c>
      <c r="N19" s="4">
        <f>121+10</f>
        <v>131</v>
      </c>
      <c r="O19" s="30">
        <v>61.911999999999999</v>
      </c>
      <c r="P19" s="4">
        <f>119+10</f>
        <v>129</v>
      </c>
      <c r="Q19" s="30">
        <v>62.03</v>
      </c>
      <c r="R19" s="4">
        <f>90+10</f>
        <v>100</v>
      </c>
      <c r="S19" s="38"/>
      <c r="T19" s="4"/>
      <c r="U19" s="30"/>
      <c r="V19" s="4"/>
      <c r="W19" s="30"/>
      <c r="X19" s="4"/>
      <c r="Y19" s="38">
        <v>61.313000000000002</v>
      </c>
      <c r="Z19" s="4">
        <v>113</v>
      </c>
      <c r="AA19" s="30">
        <v>64.069000000000003</v>
      </c>
      <c r="AB19" s="4">
        <v>141</v>
      </c>
      <c r="AC19" s="30"/>
      <c r="AD19" s="4"/>
      <c r="AE19" s="38"/>
      <c r="AF19" s="4"/>
      <c r="AG19" s="30"/>
      <c r="AH19" s="4"/>
      <c r="AI19" s="30"/>
      <c r="AJ19" s="4"/>
      <c r="AK19" s="38"/>
      <c r="AL19" s="4"/>
      <c r="AM19" s="30"/>
      <c r="AN19" s="4"/>
      <c r="AO19" s="30"/>
      <c r="AP19" s="4"/>
    </row>
    <row r="20" spans="1:42" x14ac:dyDescent="0.25">
      <c r="A20" s="104">
        <f t="shared" si="0"/>
        <v>16</v>
      </c>
      <c r="B20" s="156" t="s">
        <v>114</v>
      </c>
      <c r="C20" s="51">
        <v>2004</v>
      </c>
      <c r="D20" s="51" t="s">
        <v>27</v>
      </c>
      <c r="E20" s="6"/>
      <c r="F20" s="215">
        <f>Z20+AB20+AD20</f>
        <v>522</v>
      </c>
      <c r="G20" s="56"/>
      <c r="H20" s="56"/>
      <c r="I20" s="56"/>
      <c r="J20" s="56"/>
      <c r="K20" s="56"/>
      <c r="L20" s="56"/>
      <c r="M20" s="38"/>
      <c r="N20" s="4"/>
      <c r="O20" s="30"/>
      <c r="P20" s="4"/>
      <c r="Q20" s="30"/>
      <c r="R20" s="4"/>
      <c r="S20" s="38"/>
      <c r="T20" s="4"/>
      <c r="U20" s="30"/>
      <c r="V20" s="4"/>
      <c r="W20" s="30"/>
      <c r="X20" s="4"/>
      <c r="Y20" s="38">
        <v>68.384</v>
      </c>
      <c r="Z20" s="4">
        <v>184</v>
      </c>
      <c r="AA20" s="30">
        <v>68.332999999999998</v>
      </c>
      <c r="AB20" s="4">
        <v>183</v>
      </c>
      <c r="AC20" s="30">
        <v>68.492000000000004</v>
      </c>
      <c r="AD20" s="4">
        <v>155</v>
      </c>
      <c r="AE20" s="38"/>
      <c r="AF20" s="4"/>
      <c r="AG20" s="30"/>
      <c r="AH20" s="4"/>
      <c r="AI20" s="30"/>
      <c r="AJ20" s="4"/>
      <c r="AK20" s="38"/>
      <c r="AL20" s="4"/>
      <c r="AM20" s="30"/>
      <c r="AN20" s="4"/>
      <c r="AO20" s="30"/>
      <c r="AP20" s="4"/>
    </row>
    <row r="21" spans="1:42" x14ac:dyDescent="0.25">
      <c r="A21" s="104">
        <f t="shared" si="0"/>
        <v>17</v>
      </c>
      <c r="B21" s="157" t="s">
        <v>57</v>
      </c>
      <c r="C21" s="49">
        <v>2003</v>
      </c>
      <c r="D21" s="50" t="s">
        <v>93</v>
      </c>
      <c r="E21" s="6"/>
      <c r="F21" s="215">
        <f>Z21+AB21+AD21</f>
        <v>482</v>
      </c>
      <c r="G21" s="56"/>
      <c r="H21" s="56"/>
      <c r="I21" s="56"/>
      <c r="J21" s="56"/>
      <c r="K21" s="56"/>
      <c r="L21" s="56"/>
      <c r="M21" s="38"/>
      <c r="N21" s="4"/>
      <c r="O21" s="30"/>
      <c r="P21" s="4"/>
      <c r="Q21" s="30"/>
      <c r="R21" s="4"/>
      <c r="S21" s="38"/>
      <c r="T21" s="4"/>
      <c r="U21" s="30"/>
      <c r="V21" s="4"/>
      <c r="W21" s="30"/>
      <c r="X21" s="4"/>
      <c r="Y21" s="38">
        <v>66.061000000000007</v>
      </c>
      <c r="Z21" s="4">
        <v>161</v>
      </c>
      <c r="AA21" s="30">
        <v>67.156999999999996</v>
      </c>
      <c r="AB21" s="4">
        <v>172</v>
      </c>
      <c r="AC21" s="30">
        <v>67.875</v>
      </c>
      <c r="AD21" s="4">
        <v>149</v>
      </c>
      <c r="AE21" s="38"/>
      <c r="AF21" s="4"/>
      <c r="AG21" s="30"/>
      <c r="AH21" s="4"/>
      <c r="AI21" s="30"/>
      <c r="AJ21" s="4"/>
      <c r="AK21" s="38"/>
      <c r="AL21" s="4"/>
      <c r="AM21" s="30"/>
      <c r="AN21" s="4"/>
      <c r="AO21" s="30"/>
      <c r="AP21" s="4"/>
    </row>
    <row r="22" spans="1:42" x14ac:dyDescent="0.25">
      <c r="A22" s="104">
        <f t="shared" si="0"/>
        <v>18</v>
      </c>
      <c r="B22" s="156" t="s">
        <v>94</v>
      </c>
      <c r="C22" s="49">
        <v>2003</v>
      </c>
      <c r="D22" s="50" t="s">
        <v>27</v>
      </c>
      <c r="E22" s="6"/>
      <c r="F22" s="215">
        <f>Z22+AB22+AD22</f>
        <v>443</v>
      </c>
      <c r="G22" s="56"/>
      <c r="H22" s="56"/>
      <c r="I22" s="56"/>
      <c r="J22" s="56"/>
      <c r="K22" s="56"/>
      <c r="L22" s="56"/>
      <c r="M22" s="38"/>
      <c r="N22" s="4"/>
      <c r="O22" s="30"/>
      <c r="P22" s="4"/>
      <c r="Q22" s="30"/>
      <c r="R22" s="4"/>
      <c r="S22" s="38"/>
      <c r="T22" s="4"/>
      <c r="U22" s="30"/>
      <c r="V22" s="4"/>
      <c r="W22" s="30"/>
      <c r="X22" s="4"/>
      <c r="Y22" s="38">
        <v>64.444000000000003</v>
      </c>
      <c r="Z22" s="4">
        <v>144</v>
      </c>
      <c r="AA22" s="30">
        <v>65.784000000000006</v>
      </c>
      <c r="AB22" s="4">
        <v>158</v>
      </c>
      <c r="AC22" s="30">
        <v>67.075000000000003</v>
      </c>
      <c r="AD22" s="4">
        <v>141</v>
      </c>
      <c r="AE22" s="38"/>
      <c r="AF22" s="4"/>
      <c r="AG22" s="30"/>
      <c r="AH22" s="4"/>
      <c r="AI22" s="30"/>
      <c r="AJ22" s="4"/>
      <c r="AK22" s="38"/>
      <c r="AL22" s="4"/>
      <c r="AM22" s="30"/>
      <c r="AN22" s="4"/>
      <c r="AO22" s="30"/>
      <c r="AP22" s="4"/>
    </row>
    <row r="23" spans="1:42" x14ac:dyDescent="0.25">
      <c r="A23" s="104">
        <f t="shared" si="0"/>
        <v>19</v>
      </c>
      <c r="B23" s="157" t="s">
        <v>127</v>
      </c>
      <c r="C23" s="49">
        <v>2003</v>
      </c>
      <c r="D23" s="50" t="s">
        <v>27</v>
      </c>
      <c r="E23" s="6"/>
      <c r="F23" s="215">
        <f t="shared" ref="F23:F33" si="1">Z23+AB23</f>
        <v>362</v>
      </c>
      <c r="G23" s="56"/>
      <c r="H23" s="56"/>
      <c r="I23" s="56"/>
      <c r="J23" s="56"/>
      <c r="K23" s="56"/>
      <c r="L23" s="56"/>
      <c r="M23" s="38">
        <v>62.222000000000001</v>
      </c>
      <c r="N23" s="4">
        <f>122+10</f>
        <v>132</v>
      </c>
      <c r="O23" s="30">
        <v>59.02</v>
      </c>
      <c r="P23" s="4">
        <f>90+10</f>
        <v>100</v>
      </c>
      <c r="Q23" s="30"/>
      <c r="R23" s="4"/>
      <c r="S23" s="38"/>
      <c r="T23" s="4"/>
      <c r="U23" s="30"/>
      <c r="V23" s="4"/>
      <c r="W23" s="30"/>
      <c r="X23" s="4"/>
      <c r="Y23" s="38">
        <v>67.272999999999996</v>
      </c>
      <c r="Z23" s="4">
        <v>173</v>
      </c>
      <c r="AA23" s="30">
        <v>68.873000000000005</v>
      </c>
      <c r="AB23" s="4">
        <v>189</v>
      </c>
      <c r="AC23" s="30">
        <v>69.650000000000006</v>
      </c>
      <c r="AD23" s="4">
        <v>167</v>
      </c>
      <c r="AE23" s="38"/>
      <c r="AF23" s="4"/>
      <c r="AG23" s="30"/>
      <c r="AH23" s="4"/>
      <c r="AI23" s="30"/>
      <c r="AJ23" s="4"/>
      <c r="AK23" s="38"/>
      <c r="AL23" s="4"/>
      <c r="AM23" s="30"/>
      <c r="AN23" s="4"/>
      <c r="AO23" s="30"/>
      <c r="AP23" s="4"/>
    </row>
    <row r="24" spans="1:42" x14ac:dyDescent="0.25">
      <c r="A24" s="104">
        <f t="shared" si="0"/>
        <v>20</v>
      </c>
      <c r="B24" s="157" t="s">
        <v>116</v>
      </c>
      <c r="C24" s="49">
        <v>2003</v>
      </c>
      <c r="D24" s="50" t="s">
        <v>27</v>
      </c>
      <c r="E24" s="6"/>
      <c r="F24" s="215">
        <f t="shared" si="1"/>
        <v>294</v>
      </c>
      <c r="G24" s="56"/>
      <c r="H24" s="56"/>
      <c r="I24" s="56"/>
      <c r="J24" s="56"/>
      <c r="K24" s="56"/>
      <c r="L24" s="56"/>
      <c r="M24" s="38"/>
      <c r="N24" s="4"/>
      <c r="O24" s="30"/>
      <c r="P24" s="4"/>
      <c r="Q24" s="30"/>
      <c r="R24" s="4"/>
      <c r="S24" s="38"/>
      <c r="T24" s="4"/>
      <c r="U24" s="30"/>
      <c r="V24" s="4"/>
      <c r="W24" s="30"/>
      <c r="X24" s="4"/>
      <c r="Y24" s="38">
        <v>64.948999999999998</v>
      </c>
      <c r="Z24" s="4">
        <v>149</v>
      </c>
      <c r="AA24" s="30">
        <v>64.510000000000005</v>
      </c>
      <c r="AB24" s="4">
        <v>145</v>
      </c>
      <c r="AC24" s="30"/>
      <c r="AD24" s="4"/>
      <c r="AE24" s="38"/>
      <c r="AF24" s="4"/>
      <c r="AG24" s="30"/>
      <c r="AH24" s="4"/>
      <c r="AI24" s="30"/>
      <c r="AJ24" s="4"/>
      <c r="AK24" s="38"/>
      <c r="AL24" s="4"/>
      <c r="AM24" s="30"/>
      <c r="AN24" s="4"/>
      <c r="AO24" s="30"/>
      <c r="AP24" s="4"/>
    </row>
    <row r="25" spans="1:42" x14ac:dyDescent="0.25">
      <c r="A25" s="104">
        <f t="shared" si="0"/>
        <v>21</v>
      </c>
      <c r="B25" s="156" t="s">
        <v>213</v>
      </c>
      <c r="C25" s="49">
        <v>2006</v>
      </c>
      <c r="D25" s="50" t="s">
        <v>27</v>
      </c>
      <c r="E25" s="6"/>
      <c r="F25" s="215">
        <f t="shared" si="1"/>
        <v>289</v>
      </c>
      <c r="G25" s="56"/>
      <c r="H25" s="56"/>
      <c r="I25" s="56"/>
      <c r="J25" s="56"/>
      <c r="K25" s="56"/>
      <c r="L25" s="56"/>
      <c r="M25" s="38"/>
      <c r="N25" s="4"/>
      <c r="O25" s="30"/>
      <c r="P25" s="4"/>
      <c r="Q25" s="30"/>
      <c r="R25" s="4"/>
      <c r="S25" s="38"/>
      <c r="T25" s="4"/>
      <c r="U25" s="30"/>
      <c r="V25" s="4"/>
      <c r="W25" s="30"/>
      <c r="X25" s="4"/>
      <c r="Y25" s="38">
        <v>64.293000000000006</v>
      </c>
      <c r="Z25" s="4">
        <v>143</v>
      </c>
      <c r="AA25" s="30">
        <v>64.608000000000004</v>
      </c>
      <c r="AB25" s="4">
        <v>146</v>
      </c>
      <c r="AC25" s="30"/>
      <c r="AD25" s="4"/>
      <c r="AE25" s="38"/>
      <c r="AF25" s="4"/>
      <c r="AG25" s="30"/>
      <c r="AH25" s="4"/>
      <c r="AI25" s="30"/>
      <c r="AJ25" s="4"/>
      <c r="AK25" s="38"/>
      <c r="AL25" s="4"/>
      <c r="AM25" s="30"/>
      <c r="AN25" s="4"/>
      <c r="AO25" s="30"/>
      <c r="AP25" s="4"/>
    </row>
    <row r="26" spans="1:42" x14ac:dyDescent="0.25">
      <c r="A26" s="104">
        <f t="shared" si="0"/>
        <v>22</v>
      </c>
      <c r="B26" s="157" t="s">
        <v>118</v>
      </c>
      <c r="C26" s="49">
        <v>2004</v>
      </c>
      <c r="D26" s="50">
        <v>1</v>
      </c>
      <c r="E26" s="6"/>
      <c r="F26" s="215">
        <f t="shared" si="1"/>
        <v>284</v>
      </c>
      <c r="G26" s="56"/>
      <c r="H26" s="56"/>
      <c r="I26" s="56"/>
      <c r="J26" s="56"/>
      <c r="K26" s="56"/>
      <c r="L26" s="56"/>
      <c r="M26" s="38"/>
      <c r="N26" s="4"/>
      <c r="O26" s="30"/>
      <c r="P26" s="4"/>
      <c r="Q26" s="30"/>
      <c r="R26" s="4"/>
      <c r="S26" s="38"/>
      <c r="T26" s="4"/>
      <c r="U26" s="30"/>
      <c r="V26" s="4"/>
      <c r="W26" s="30"/>
      <c r="X26" s="4"/>
      <c r="Y26" s="38">
        <v>64.040000000000006</v>
      </c>
      <c r="Z26" s="4">
        <v>140</v>
      </c>
      <c r="AA26" s="30">
        <v>64.412000000000006</v>
      </c>
      <c r="AB26" s="4">
        <v>144</v>
      </c>
      <c r="AC26" s="30"/>
      <c r="AD26" s="4"/>
      <c r="AE26" s="38"/>
      <c r="AF26" s="4"/>
      <c r="AG26" s="30"/>
      <c r="AH26" s="4"/>
      <c r="AI26" s="30"/>
      <c r="AJ26" s="4"/>
      <c r="AK26" s="38"/>
      <c r="AL26" s="4"/>
      <c r="AM26" s="30"/>
      <c r="AN26" s="4"/>
      <c r="AO26" s="30"/>
      <c r="AP26" s="4"/>
    </row>
    <row r="27" spans="1:42" x14ac:dyDescent="0.25">
      <c r="A27" s="104">
        <f t="shared" si="0"/>
        <v>23</v>
      </c>
      <c r="B27" s="156" t="s">
        <v>215</v>
      </c>
      <c r="C27" s="49">
        <v>2006</v>
      </c>
      <c r="D27" s="50" t="s">
        <v>27</v>
      </c>
      <c r="E27" s="6"/>
      <c r="F27" s="215">
        <f t="shared" si="1"/>
        <v>282</v>
      </c>
      <c r="G27" s="56"/>
      <c r="H27" s="56"/>
      <c r="I27" s="56"/>
      <c r="J27" s="56"/>
      <c r="K27" s="56"/>
      <c r="L27" s="56"/>
      <c r="M27" s="38"/>
      <c r="N27" s="4"/>
      <c r="O27" s="30"/>
      <c r="P27" s="4"/>
      <c r="Q27" s="30"/>
      <c r="R27" s="4"/>
      <c r="S27" s="38"/>
      <c r="T27" s="4"/>
      <c r="U27" s="30"/>
      <c r="V27" s="4"/>
      <c r="W27" s="30"/>
      <c r="X27" s="4"/>
      <c r="Y27" s="38">
        <v>64.090999999999994</v>
      </c>
      <c r="Z27" s="4">
        <v>141</v>
      </c>
      <c r="AA27" s="30">
        <v>64.117999999999995</v>
      </c>
      <c r="AB27" s="4">
        <v>141</v>
      </c>
      <c r="AC27" s="30"/>
      <c r="AD27" s="4"/>
      <c r="AE27" s="38"/>
      <c r="AF27" s="4"/>
      <c r="AG27" s="30"/>
      <c r="AH27" s="4"/>
      <c r="AI27" s="30"/>
      <c r="AJ27" s="4"/>
      <c r="AK27" s="38"/>
      <c r="AL27" s="4"/>
      <c r="AM27" s="30"/>
      <c r="AN27" s="4"/>
      <c r="AO27" s="30"/>
      <c r="AP27" s="4"/>
    </row>
    <row r="28" spans="1:42" x14ac:dyDescent="0.25">
      <c r="A28" s="104">
        <f t="shared" si="0"/>
        <v>24</v>
      </c>
      <c r="B28" s="156" t="s">
        <v>214</v>
      </c>
      <c r="C28" s="49">
        <v>2007</v>
      </c>
      <c r="D28" s="50" t="s">
        <v>27</v>
      </c>
      <c r="E28" s="6"/>
      <c r="F28" s="215">
        <f t="shared" si="1"/>
        <v>261</v>
      </c>
      <c r="G28" s="56"/>
      <c r="H28" s="56"/>
      <c r="I28" s="56"/>
      <c r="J28" s="56"/>
      <c r="K28" s="56"/>
      <c r="L28" s="56"/>
      <c r="M28" s="38"/>
      <c r="N28" s="4"/>
      <c r="O28" s="30"/>
      <c r="P28" s="4"/>
      <c r="Q28" s="30"/>
      <c r="R28" s="4"/>
      <c r="S28" s="38"/>
      <c r="T28" s="4"/>
      <c r="U28" s="30"/>
      <c r="V28" s="4"/>
      <c r="W28" s="30"/>
      <c r="X28" s="4"/>
      <c r="Y28" s="38">
        <v>63.737000000000002</v>
      </c>
      <c r="Z28" s="4">
        <v>137</v>
      </c>
      <c r="AA28" s="30">
        <v>62.402000000000001</v>
      </c>
      <c r="AB28" s="4">
        <v>124</v>
      </c>
      <c r="AC28" s="30"/>
      <c r="AD28" s="4"/>
      <c r="AE28" s="38"/>
      <c r="AF28" s="4"/>
      <c r="AG28" s="30"/>
      <c r="AH28" s="4"/>
      <c r="AI28" s="30"/>
      <c r="AJ28" s="4"/>
      <c r="AK28" s="38"/>
      <c r="AL28" s="4"/>
      <c r="AM28" s="30"/>
      <c r="AN28" s="4"/>
      <c r="AO28" s="30"/>
      <c r="AP28" s="4"/>
    </row>
    <row r="29" spans="1:42" x14ac:dyDescent="0.25">
      <c r="A29" s="104">
        <f t="shared" si="0"/>
        <v>25</v>
      </c>
      <c r="B29" s="157" t="s">
        <v>128</v>
      </c>
      <c r="C29" s="49">
        <v>2007</v>
      </c>
      <c r="D29" s="50" t="s">
        <v>27</v>
      </c>
      <c r="E29" s="6"/>
      <c r="F29" s="215">
        <f t="shared" si="1"/>
        <v>256</v>
      </c>
      <c r="G29" s="56"/>
      <c r="H29" s="56"/>
      <c r="I29" s="56"/>
      <c r="J29" s="56"/>
      <c r="K29" s="56"/>
      <c r="L29" s="56"/>
      <c r="M29" s="38"/>
      <c r="N29" s="4"/>
      <c r="O29" s="30"/>
      <c r="P29" s="4"/>
      <c r="Q29" s="30"/>
      <c r="R29" s="4"/>
      <c r="S29" s="38"/>
      <c r="T29" s="4"/>
      <c r="U29" s="30"/>
      <c r="V29" s="4"/>
      <c r="W29" s="30"/>
      <c r="X29" s="4"/>
      <c r="Y29" s="38">
        <v>62.378999999999998</v>
      </c>
      <c r="Z29" s="4">
        <v>124</v>
      </c>
      <c r="AA29" s="30">
        <v>63.186</v>
      </c>
      <c r="AB29" s="4">
        <v>132</v>
      </c>
      <c r="AC29" s="30"/>
      <c r="AD29" s="4"/>
      <c r="AE29" s="38"/>
      <c r="AF29" s="4"/>
      <c r="AG29" s="30"/>
      <c r="AH29" s="4"/>
      <c r="AI29" s="30"/>
      <c r="AJ29" s="4"/>
      <c r="AK29" s="38"/>
      <c r="AL29" s="4"/>
      <c r="AM29" s="30"/>
      <c r="AN29" s="4"/>
      <c r="AO29" s="30"/>
      <c r="AP29" s="4"/>
    </row>
    <row r="30" spans="1:42" x14ac:dyDescent="0.25">
      <c r="A30" s="104">
        <f t="shared" si="0"/>
        <v>25</v>
      </c>
      <c r="B30" s="156" t="s">
        <v>216</v>
      </c>
      <c r="C30" s="49">
        <v>2007</v>
      </c>
      <c r="D30" s="50" t="s">
        <v>27</v>
      </c>
      <c r="E30" s="6"/>
      <c r="F30" s="215">
        <f t="shared" si="1"/>
        <v>256</v>
      </c>
      <c r="G30" s="56"/>
      <c r="H30" s="56"/>
      <c r="I30" s="56"/>
      <c r="J30" s="56"/>
      <c r="K30" s="56"/>
      <c r="L30" s="56"/>
      <c r="M30" s="38"/>
      <c r="N30" s="4"/>
      <c r="O30" s="30"/>
      <c r="P30" s="4"/>
      <c r="Q30" s="30"/>
      <c r="R30" s="4"/>
      <c r="S30" s="38"/>
      <c r="T30" s="4"/>
      <c r="U30" s="30"/>
      <c r="V30" s="4"/>
      <c r="W30" s="30"/>
      <c r="X30" s="4"/>
      <c r="Y30" s="38">
        <v>63.701999999999998</v>
      </c>
      <c r="Z30" s="4">
        <v>137</v>
      </c>
      <c r="AA30" s="30">
        <v>61.863</v>
      </c>
      <c r="AB30" s="4">
        <v>119</v>
      </c>
      <c r="AC30" s="30"/>
      <c r="AD30" s="4"/>
      <c r="AE30" s="38"/>
      <c r="AF30" s="4"/>
      <c r="AG30" s="30"/>
      <c r="AH30" s="4"/>
      <c r="AI30" s="30"/>
      <c r="AJ30" s="4"/>
      <c r="AK30" s="38"/>
      <c r="AL30" s="4"/>
      <c r="AM30" s="30"/>
      <c r="AN30" s="4"/>
      <c r="AO30" s="30"/>
      <c r="AP30" s="4"/>
    </row>
    <row r="31" spans="1:42" x14ac:dyDescent="0.25">
      <c r="A31" s="104">
        <f t="shared" si="0"/>
        <v>27</v>
      </c>
      <c r="B31" s="156" t="s">
        <v>218</v>
      </c>
      <c r="C31" s="49">
        <v>2006</v>
      </c>
      <c r="D31" s="50" t="s">
        <v>27</v>
      </c>
      <c r="E31" s="6"/>
      <c r="F31" s="215">
        <f t="shared" si="1"/>
        <v>224</v>
      </c>
      <c r="G31" s="56"/>
      <c r="H31" s="56"/>
      <c r="I31" s="56"/>
      <c r="J31" s="56"/>
      <c r="K31" s="56"/>
      <c r="L31" s="56"/>
      <c r="M31" s="38"/>
      <c r="N31" s="4"/>
      <c r="O31" s="30"/>
      <c r="P31" s="4"/>
      <c r="Q31" s="30"/>
      <c r="R31" s="4"/>
      <c r="S31" s="38"/>
      <c r="T31" s="4"/>
      <c r="U31" s="30"/>
      <c r="V31" s="4"/>
      <c r="W31" s="30"/>
      <c r="X31" s="4"/>
      <c r="Y31" s="38">
        <v>63.534999999999997</v>
      </c>
      <c r="Z31" s="4">
        <v>135</v>
      </c>
      <c r="AA31" s="30">
        <v>58.9</v>
      </c>
      <c r="AB31" s="4">
        <v>89</v>
      </c>
      <c r="AC31" s="30"/>
      <c r="AD31" s="4"/>
      <c r="AE31" s="38"/>
      <c r="AF31" s="4"/>
      <c r="AG31" s="30"/>
      <c r="AH31" s="4"/>
      <c r="AI31" s="30"/>
      <c r="AJ31" s="4"/>
      <c r="AK31" s="38"/>
      <c r="AL31" s="4"/>
      <c r="AM31" s="30"/>
      <c r="AN31" s="4"/>
      <c r="AO31" s="30"/>
      <c r="AP31" s="4"/>
    </row>
    <row r="32" spans="1:42" x14ac:dyDescent="0.25">
      <c r="A32" s="104">
        <f t="shared" si="0"/>
        <v>28</v>
      </c>
      <c r="B32" s="157" t="s">
        <v>104</v>
      </c>
      <c r="C32" s="49">
        <v>2006</v>
      </c>
      <c r="D32" s="50" t="s">
        <v>27</v>
      </c>
      <c r="E32" s="6"/>
      <c r="F32" s="215">
        <f t="shared" si="1"/>
        <v>217</v>
      </c>
      <c r="G32" s="56"/>
      <c r="H32" s="56"/>
      <c r="I32" s="56"/>
      <c r="J32" s="56"/>
      <c r="K32" s="56"/>
      <c r="L32" s="56"/>
      <c r="M32" s="38"/>
      <c r="N32" s="4"/>
      <c r="O32" s="30"/>
      <c r="P32" s="4"/>
      <c r="Q32" s="30"/>
      <c r="R32" s="4"/>
      <c r="S32" s="38"/>
      <c r="T32" s="4"/>
      <c r="U32" s="30"/>
      <c r="V32" s="4"/>
      <c r="W32" s="30"/>
      <c r="X32" s="4"/>
      <c r="Y32" s="38">
        <v>61.616</v>
      </c>
      <c r="Z32" s="4">
        <v>116</v>
      </c>
      <c r="AA32" s="30">
        <v>60.097999999999999</v>
      </c>
      <c r="AB32" s="4">
        <v>101</v>
      </c>
      <c r="AC32" s="30"/>
      <c r="AD32" s="4"/>
      <c r="AE32" s="38"/>
      <c r="AF32" s="4"/>
      <c r="AG32" s="30"/>
      <c r="AH32" s="4"/>
      <c r="AI32" s="30"/>
      <c r="AJ32" s="4"/>
      <c r="AK32" s="38"/>
      <c r="AL32" s="4"/>
      <c r="AM32" s="30"/>
      <c r="AN32" s="4"/>
      <c r="AO32" s="30"/>
      <c r="AP32" s="4"/>
    </row>
    <row r="33" spans="1:42" x14ac:dyDescent="0.25">
      <c r="A33" s="104">
        <f t="shared" si="0"/>
        <v>29</v>
      </c>
      <c r="B33" s="156" t="s">
        <v>219</v>
      </c>
      <c r="C33" s="49">
        <v>2006</v>
      </c>
      <c r="D33" s="50" t="s">
        <v>27</v>
      </c>
      <c r="E33" s="6"/>
      <c r="F33" s="215">
        <f t="shared" si="1"/>
        <v>208</v>
      </c>
      <c r="G33" s="56"/>
      <c r="H33" s="56"/>
      <c r="I33" s="56"/>
      <c r="J33" s="56"/>
      <c r="K33" s="56"/>
      <c r="L33" s="56"/>
      <c r="M33" s="38"/>
      <c r="N33" s="4"/>
      <c r="O33" s="30"/>
      <c r="P33" s="4"/>
      <c r="Q33" s="30"/>
      <c r="R33" s="4"/>
      <c r="S33" s="38"/>
      <c r="T33" s="4"/>
      <c r="U33" s="30"/>
      <c r="V33" s="4"/>
      <c r="W33" s="30"/>
      <c r="X33" s="4"/>
      <c r="Y33" s="38">
        <v>61.363999999999997</v>
      </c>
      <c r="Z33" s="4">
        <v>114</v>
      </c>
      <c r="AA33" s="30">
        <v>59.363</v>
      </c>
      <c r="AB33" s="4">
        <v>94</v>
      </c>
      <c r="AC33" s="30"/>
      <c r="AD33" s="4"/>
      <c r="AE33" s="38"/>
      <c r="AF33" s="4"/>
      <c r="AG33" s="30"/>
      <c r="AH33" s="4"/>
      <c r="AI33" s="30"/>
      <c r="AJ33" s="4"/>
      <c r="AK33" s="38"/>
      <c r="AL33" s="4"/>
      <c r="AM33" s="30"/>
      <c r="AN33" s="4"/>
      <c r="AO33" s="30"/>
      <c r="AP33" s="4"/>
    </row>
    <row r="34" spans="1:42" x14ac:dyDescent="0.25">
      <c r="A34" s="104">
        <f t="shared" si="0"/>
        <v>30</v>
      </c>
      <c r="B34" s="156" t="s">
        <v>217</v>
      </c>
      <c r="C34" s="49">
        <v>2005</v>
      </c>
      <c r="D34" s="50">
        <v>1</v>
      </c>
      <c r="E34" s="6"/>
      <c r="F34" s="215">
        <f t="shared" ref="F34:F40" si="2">Z34</f>
        <v>136</v>
      </c>
      <c r="G34" s="56"/>
      <c r="H34" s="56"/>
      <c r="I34" s="56"/>
      <c r="J34" s="56"/>
      <c r="K34" s="56"/>
      <c r="L34" s="56"/>
      <c r="M34" s="38"/>
      <c r="N34" s="4"/>
      <c r="O34" s="30"/>
      <c r="P34" s="4"/>
      <c r="Q34" s="30"/>
      <c r="R34" s="4"/>
      <c r="S34" s="38"/>
      <c r="T34" s="4"/>
      <c r="U34" s="30"/>
      <c r="V34" s="4"/>
      <c r="W34" s="30"/>
      <c r="X34" s="4"/>
      <c r="Y34" s="38">
        <v>63.640999999999998</v>
      </c>
      <c r="Z34" s="4">
        <v>136</v>
      </c>
      <c r="AA34" s="30"/>
      <c r="AB34" s="4"/>
      <c r="AC34" s="30"/>
      <c r="AD34" s="4"/>
      <c r="AE34" s="38"/>
      <c r="AF34" s="4"/>
      <c r="AG34" s="30"/>
      <c r="AH34" s="4"/>
      <c r="AI34" s="30"/>
      <c r="AJ34" s="4"/>
      <c r="AK34" s="38"/>
      <c r="AL34" s="4"/>
      <c r="AM34" s="30"/>
      <c r="AN34" s="4"/>
      <c r="AO34" s="30"/>
      <c r="AP34" s="4"/>
    </row>
    <row r="35" spans="1:42" x14ac:dyDescent="0.25">
      <c r="A35" s="104">
        <f t="shared" si="0"/>
        <v>31</v>
      </c>
      <c r="B35" s="157" t="s">
        <v>101</v>
      </c>
      <c r="C35" s="49">
        <v>2003</v>
      </c>
      <c r="D35" s="50" t="s">
        <v>27</v>
      </c>
      <c r="E35" s="6"/>
      <c r="F35" s="215">
        <f t="shared" si="2"/>
        <v>112</v>
      </c>
      <c r="G35" s="56"/>
      <c r="H35" s="56"/>
      <c r="I35" s="56"/>
      <c r="J35" s="56"/>
      <c r="K35" s="56"/>
      <c r="L35" s="56"/>
      <c r="M35" s="38"/>
      <c r="N35" s="4"/>
      <c r="O35" s="30"/>
      <c r="P35" s="4"/>
      <c r="Q35" s="30"/>
      <c r="R35" s="4"/>
      <c r="S35" s="38"/>
      <c r="T35" s="4"/>
      <c r="U35" s="30"/>
      <c r="V35" s="4"/>
      <c r="W35" s="30"/>
      <c r="X35" s="4"/>
      <c r="Y35" s="38">
        <v>61.212000000000003</v>
      </c>
      <c r="Z35" s="4">
        <v>112</v>
      </c>
      <c r="AA35" s="30"/>
      <c r="AB35" s="4"/>
      <c r="AC35" s="30"/>
      <c r="AD35" s="4"/>
      <c r="AE35" s="38"/>
      <c r="AF35" s="4"/>
      <c r="AG35" s="30"/>
      <c r="AH35" s="4"/>
      <c r="AI35" s="30"/>
      <c r="AJ35" s="4"/>
      <c r="AK35" s="38"/>
      <c r="AL35" s="4"/>
      <c r="AM35" s="30"/>
      <c r="AN35" s="4"/>
      <c r="AO35" s="30"/>
      <c r="AP35" s="4"/>
    </row>
    <row r="36" spans="1:42" x14ac:dyDescent="0.25">
      <c r="A36" s="104">
        <f t="shared" si="0"/>
        <v>31</v>
      </c>
      <c r="B36" s="157" t="s">
        <v>124</v>
      </c>
      <c r="C36" s="49">
        <v>2006</v>
      </c>
      <c r="D36" s="50">
        <v>2</v>
      </c>
      <c r="E36" s="6"/>
      <c r="F36" s="215">
        <f t="shared" si="2"/>
        <v>112</v>
      </c>
      <c r="G36" s="56"/>
      <c r="H36" s="56"/>
      <c r="I36" s="56"/>
      <c r="J36" s="56"/>
      <c r="K36" s="56"/>
      <c r="L36" s="56"/>
      <c r="M36" s="38"/>
      <c r="N36" s="4"/>
      <c r="O36" s="30"/>
      <c r="P36" s="4"/>
      <c r="Q36" s="30"/>
      <c r="R36" s="4"/>
      <c r="S36" s="38"/>
      <c r="T36" s="4"/>
      <c r="U36" s="30"/>
      <c r="V36" s="4"/>
      <c r="W36" s="30"/>
      <c r="X36" s="4"/>
      <c r="Y36" s="38">
        <v>61.212000000000003</v>
      </c>
      <c r="Z36" s="4">
        <v>112</v>
      </c>
      <c r="AA36" s="30"/>
      <c r="AB36" s="4"/>
      <c r="AC36" s="30"/>
      <c r="AD36" s="4"/>
      <c r="AE36" s="38"/>
      <c r="AF36" s="4"/>
      <c r="AG36" s="30"/>
      <c r="AH36" s="4"/>
      <c r="AI36" s="30"/>
      <c r="AJ36" s="4"/>
      <c r="AK36" s="38"/>
      <c r="AL36" s="4"/>
      <c r="AM36" s="30"/>
      <c r="AN36" s="4"/>
      <c r="AO36" s="30"/>
      <c r="AP36" s="4"/>
    </row>
    <row r="37" spans="1:42" x14ac:dyDescent="0.25">
      <c r="A37" s="104">
        <f t="shared" ref="A37:A66" si="3">RANK(F37,F$5:F$66,0)</f>
        <v>33</v>
      </c>
      <c r="B37" s="157" t="s">
        <v>106</v>
      </c>
      <c r="C37" s="49">
        <v>2004</v>
      </c>
      <c r="D37" s="50" t="s">
        <v>27</v>
      </c>
      <c r="E37" s="6"/>
      <c r="F37" s="215">
        <f t="shared" si="2"/>
        <v>110</v>
      </c>
      <c r="G37" s="56"/>
      <c r="H37" s="56"/>
      <c r="I37" s="56"/>
      <c r="J37" s="56"/>
      <c r="K37" s="56"/>
      <c r="L37" s="56"/>
      <c r="M37" s="38"/>
      <c r="N37" s="4"/>
      <c r="O37" s="30"/>
      <c r="P37" s="4"/>
      <c r="Q37" s="30"/>
      <c r="R37" s="4"/>
      <c r="S37" s="38"/>
      <c r="T37" s="4"/>
      <c r="U37" s="30"/>
      <c r="V37" s="4"/>
      <c r="W37" s="30"/>
      <c r="X37" s="4"/>
      <c r="Y37" s="38">
        <v>61.01</v>
      </c>
      <c r="Z37" s="4">
        <v>110</v>
      </c>
      <c r="AA37" s="30"/>
      <c r="AB37" s="4"/>
      <c r="AC37" s="30"/>
      <c r="AD37" s="4"/>
      <c r="AE37" s="38"/>
      <c r="AF37" s="4"/>
      <c r="AG37" s="30"/>
      <c r="AH37" s="4"/>
      <c r="AI37" s="30"/>
      <c r="AJ37" s="4"/>
      <c r="AK37" s="38"/>
      <c r="AL37" s="4"/>
      <c r="AM37" s="30"/>
      <c r="AN37" s="4"/>
      <c r="AO37" s="30"/>
      <c r="AP37" s="4"/>
    </row>
    <row r="38" spans="1:42" x14ac:dyDescent="0.25">
      <c r="A38" s="104">
        <f t="shared" si="3"/>
        <v>34</v>
      </c>
      <c r="B38" s="156" t="s">
        <v>220</v>
      </c>
      <c r="C38" s="49">
        <v>2004</v>
      </c>
      <c r="D38" s="50" t="s">
        <v>27</v>
      </c>
      <c r="E38" s="6"/>
      <c r="F38" s="215">
        <f t="shared" si="2"/>
        <v>109</v>
      </c>
      <c r="G38" s="56"/>
      <c r="H38" s="56"/>
      <c r="I38" s="56"/>
      <c r="J38" s="56"/>
      <c r="K38" s="56"/>
      <c r="L38" s="56"/>
      <c r="M38" s="38"/>
      <c r="N38" s="4"/>
      <c r="O38" s="30"/>
      <c r="P38" s="4"/>
      <c r="Q38" s="30"/>
      <c r="R38" s="4"/>
      <c r="S38" s="38"/>
      <c r="T38" s="4"/>
      <c r="U38" s="30"/>
      <c r="V38" s="4"/>
      <c r="W38" s="30"/>
      <c r="X38" s="4"/>
      <c r="Y38" s="38">
        <v>60.859000000000002</v>
      </c>
      <c r="Z38" s="4">
        <v>109</v>
      </c>
      <c r="AA38" s="30"/>
      <c r="AB38" s="4"/>
      <c r="AC38" s="30"/>
      <c r="AD38" s="4"/>
      <c r="AE38" s="38"/>
      <c r="AF38" s="4"/>
      <c r="AG38" s="30"/>
      <c r="AH38" s="4"/>
      <c r="AI38" s="30"/>
      <c r="AJ38" s="4"/>
      <c r="AK38" s="38"/>
      <c r="AL38" s="4"/>
      <c r="AM38" s="30"/>
      <c r="AN38" s="4"/>
      <c r="AO38" s="30"/>
      <c r="AP38" s="4"/>
    </row>
    <row r="39" spans="1:42" x14ac:dyDescent="0.25">
      <c r="A39" s="104">
        <f t="shared" si="3"/>
        <v>34</v>
      </c>
      <c r="B39" s="156" t="s">
        <v>221</v>
      </c>
      <c r="C39" s="49">
        <v>2008</v>
      </c>
      <c r="D39" s="50">
        <v>1</v>
      </c>
      <c r="E39" s="6"/>
      <c r="F39" s="215">
        <f t="shared" si="2"/>
        <v>109</v>
      </c>
      <c r="G39" s="56"/>
      <c r="H39" s="56"/>
      <c r="I39" s="56"/>
      <c r="J39" s="56"/>
      <c r="K39" s="56"/>
      <c r="L39" s="56"/>
      <c r="M39" s="38"/>
      <c r="N39" s="4"/>
      <c r="O39" s="30"/>
      <c r="P39" s="4"/>
      <c r="Q39" s="30"/>
      <c r="R39" s="4"/>
      <c r="S39" s="38"/>
      <c r="T39" s="4"/>
      <c r="U39" s="30"/>
      <c r="V39" s="4"/>
      <c r="W39" s="30"/>
      <c r="X39" s="4"/>
      <c r="Y39" s="38">
        <v>60.656999999999996</v>
      </c>
      <c r="Z39" s="4">
        <v>109</v>
      </c>
      <c r="AA39" s="30"/>
      <c r="AB39" s="4"/>
      <c r="AC39" s="30"/>
      <c r="AD39" s="4"/>
      <c r="AE39" s="38"/>
      <c r="AF39" s="4"/>
      <c r="AG39" s="30"/>
      <c r="AH39" s="4"/>
      <c r="AI39" s="30"/>
      <c r="AJ39" s="4"/>
      <c r="AK39" s="38"/>
      <c r="AL39" s="4"/>
      <c r="AM39" s="30"/>
      <c r="AN39" s="4"/>
      <c r="AO39" s="30"/>
      <c r="AP39" s="4"/>
    </row>
    <row r="40" spans="1:42" x14ac:dyDescent="0.25">
      <c r="A40" s="104">
        <f t="shared" si="3"/>
        <v>36</v>
      </c>
      <c r="B40" s="156" t="s">
        <v>222</v>
      </c>
      <c r="C40" s="49">
        <v>2009</v>
      </c>
      <c r="D40" s="50">
        <v>2</v>
      </c>
      <c r="E40" s="6"/>
      <c r="F40" s="215">
        <f t="shared" si="2"/>
        <v>92</v>
      </c>
      <c r="G40" s="56"/>
      <c r="H40" s="56"/>
      <c r="I40" s="56"/>
      <c r="J40" s="56"/>
      <c r="K40" s="56"/>
      <c r="L40" s="56"/>
      <c r="M40" s="38"/>
      <c r="N40" s="4"/>
      <c r="O40" s="30"/>
      <c r="P40" s="4"/>
      <c r="Q40" s="30"/>
      <c r="R40" s="4"/>
      <c r="S40" s="38"/>
      <c r="T40" s="4"/>
      <c r="U40" s="30"/>
      <c r="V40" s="4"/>
      <c r="W40" s="30"/>
      <c r="X40" s="4"/>
      <c r="Y40" s="38">
        <v>59.247</v>
      </c>
      <c r="Z40" s="4">
        <v>92</v>
      </c>
      <c r="AA40" s="30"/>
      <c r="AB40" s="4"/>
      <c r="AC40" s="30"/>
      <c r="AD40" s="4"/>
      <c r="AE40" s="38"/>
      <c r="AF40" s="4"/>
      <c r="AG40" s="30"/>
      <c r="AH40" s="4"/>
      <c r="AI40" s="30"/>
      <c r="AJ40" s="4"/>
      <c r="AK40" s="38"/>
      <c r="AL40" s="4"/>
      <c r="AM40" s="30"/>
      <c r="AN40" s="4"/>
      <c r="AO40" s="30"/>
      <c r="AP40" s="4"/>
    </row>
    <row r="41" spans="1:42" x14ac:dyDescent="0.25">
      <c r="A41" s="104">
        <f t="shared" si="3"/>
        <v>37</v>
      </c>
      <c r="B41" s="157" t="s">
        <v>100</v>
      </c>
      <c r="C41" s="49">
        <v>2002</v>
      </c>
      <c r="D41" s="50" t="s">
        <v>19</v>
      </c>
      <c r="E41" s="6"/>
      <c r="F41" s="215">
        <f t="shared" ref="F41:F47" si="4">N41+P41+R41</f>
        <v>0</v>
      </c>
      <c r="G41" s="56"/>
      <c r="H41" s="56"/>
      <c r="I41" s="56"/>
      <c r="J41" s="56"/>
      <c r="K41" s="56"/>
      <c r="L41" s="56"/>
      <c r="M41" s="38"/>
      <c r="N41" s="4"/>
      <c r="O41" s="30"/>
      <c r="P41" s="4"/>
      <c r="Q41" s="30"/>
      <c r="R41" s="4"/>
      <c r="S41" s="38"/>
      <c r="T41" s="4"/>
      <c r="U41" s="30"/>
      <c r="V41" s="4"/>
      <c r="W41" s="30"/>
      <c r="X41" s="4"/>
      <c r="Y41" s="38"/>
      <c r="Z41" s="4"/>
      <c r="AA41" s="30"/>
      <c r="AB41" s="4"/>
      <c r="AC41" s="30"/>
      <c r="AD41" s="4"/>
      <c r="AE41" s="38"/>
      <c r="AF41" s="4"/>
      <c r="AG41" s="30"/>
      <c r="AH41" s="4"/>
      <c r="AI41" s="30"/>
      <c r="AJ41" s="4"/>
      <c r="AK41" s="38"/>
      <c r="AL41" s="4"/>
      <c r="AM41" s="30"/>
      <c r="AN41" s="4"/>
      <c r="AO41" s="30"/>
      <c r="AP41" s="4"/>
    </row>
    <row r="42" spans="1:42" x14ac:dyDescent="0.25">
      <c r="A42" s="104">
        <f t="shared" si="3"/>
        <v>37</v>
      </c>
      <c r="B42" s="157" t="s">
        <v>131</v>
      </c>
      <c r="C42" s="49">
        <v>2003</v>
      </c>
      <c r="D42" s="50" t="s">
        <v>19</v>
      </c>
      <c r="E42" s="6"/>
      <c r="F42" s="215">
        <f t="shared" si="4"/>
        <v>0</v>
      </c>
      <c r="G42" s="56"/>
      <c r="H42" s="56"/>
      <c r="I42" s="56"/>
      <c r="J42" s="56"/>
      <c r="K42" s="56"/>
      <c r="L42" s="56"/>
      <c r="M42" s="38"/>
      <c r="N42" s="4"/>
      <c r="O42" s="30"/>
      <c r="P42" s="4"/>
      <c r="Q42" s="30"/>
      <c r="R42" s="4"/>
      <c r="S42" s="38"/>
      <c r="T42" s="4"/>
      <c r="U42" s="30"/>
      <c r="V42" s="4"/>
      <c r="W42" s="30"/>
      <c r="X42" s="4"/>
      <c r="Y42" s="38"/>
      <c r="Z42" s="4"/>
      <c r="AA42" s="30"/>
      <c r="AB42" s="4"/>
      <c r="AC42" s="30"/>
      <c r="AD42" s="4"/>
      <c r="AE42" s="38"/>
      <c r="AF42" s="4"/>
      <c r="AG42" s="30"/>
      <c r="AH42" s="4"/>
      <c r="AI42" s="30"/>
      <c r="AJ42" s="4"/>
      <c r="AK42" s="38"/>
      <c r="AL42" s="4"/>
      <c r="AM42" s="30"/>
      <c r="AN42" s="4"/>
      <c r="AO42" s="30"/>
      <c r="AP42" s="4"/>
    </row>
    <row r="43" spans="1:42" x14ac:dyDescent="0.25">
      <c r="A43" s="104">
        <f t="shared" si="3"/>
        <v>37</v>
      </c>
      <c r="B43" s="156" t="s">
        <v>107</v>
      </c>
      <c r="C43" s="51">
        <v>2003</v>
      </c>
      <c r="D43" s="51" t="s">
        <v>19</v>
      </c>
      <c r="E43" s="6"/>
      <c r="F43" s="215">
        <f t="shared" si="4"/>
        <v>0</v>
      </c>
      <c r="G43" s="56"/>
      <c r="H43" s="56"/>
      <c r="I43" s="56"/>
      <c r="J43" s="56"/>
      <c r="K43" s="56"/>
      <c r="L43" s="56"/>
      <c r="M43" s="38"/>
      <c r="N43" s="4"/>
      <c r="O43" s="30"/>
      <c r="P43" s="4"/>
      <c r="Q43" s="30"/>
      <c r="R43" s="4"/>
      <c r="S43" s="38"/>
      <c r="T43" s="4"/>
      <c r="U43" s="30"/>
      <c r="V43" s="4"/>
      <c r="W43" s="30"/>
      <c r="X43" s="4"/>
      <c r="Y43" s="38"/>
      <c r="Z43" s="4"/>
      <c r="AA43" s="30"/>
      <c r="AB43" s="4"/>
      <c r="AC43" s="30"/>
      <c r="AD43" s="4"/>
      <c r="AE43" s="38"/>
      <c r="AF43" s="4"/>
      <c r="AG43" s="30"/>
      <c r="AH43" s="4"/>
      <c r="AI43" s="30"/>
      <c r="AJ43" s="4"/>
      <c r="AK43" s="38"/>
      <c r="AL43" s="4"/>
      <c r="AM43" s="30"/>
      <c r="AN43" s="4"/>
      <c r="AO43" s="30"/>
      <c r="AP43" s="4"/>
    </row>
    <row r="44" spans="1:42" x14ac:dyDescent="0.25">
      <c r="A44" s="104">
        <f t="shared" si="3"/>
        <v>37</v>
      </c>
      <c r="B44" s="156" t="s">
        <v>64</v>
      </c>
      <c r="C44" s="49">
        <v>2003</v>
      </c>
      <c r="D44" s="50" t="s">
        <v>27</v>
      </c>
      <c r="E44" s="6"/>
      <c r="F44" s="215">
        <f t="shared" si="4"/>
        <v>0</v>
      </c>
      <c r="G44" s="56"/>
      <c r="H44" s="56"/>
      <c r="I44" s="56"/>
      <c r="J44" s="56"/>
      <c r="K44" s="56"/>
      <c r="L44" s="56"/>
      <c r="M44" s="38"/>
      <c r="N44" s="4"/>
      <c r="O44" s="30"/>
      <c r="P44" s="4"/>
      <c r="Q44" s="30"/>
      <c r="R44" s="4"/>
      <c r="S44" s="38"/>
      <c r="T44" s="4"/>
      <c r="U44" s="30"/>
      <c r="V44" s="4"/>
      <c r="W44" s="30"/>
      <c r="X44" s="4"/>
      <c r="Y44" s="38"/>
      <c r="Z44" s="4"/>
      <c r="AA44" s="30"/>
      <c r="AB44" s="4"/>
      <c r="AC44" s="30"/>
      <c r="AD44" s="4"/>
      <c r="AE44" s="38"/>
      <c r="AF44" s="4"/>
      <c r="AG44" s="30"/>
      <c r="AH44" s="4"/>
      <c r="AI44" s="30"/>
      <c r="AJ44" s="4"/>
      <c r="AK44" s="38"/>
      <c r="AL44" s="4"/>
      <c r="AM44" s="30"/>
      <c r="AN44" s="4"/>
      <c r="AO44" s="30"/>
      <c r="AP44" s="4"/>
    </row>
    <row r="45" spans="1:42" x14ac:dyDescent="0.25">
      <c r="A45" s="104">
        <f t="shared" si="3"/>
        <v>37</v>
      </c>
      <c r="B45" s="156" t="s">
        <v>120</v>
      </c>
      <c r="C45" s="51">
        <v>2003</v>
      </c>
      <c r="D45" s="51" t="s">
        <v>27</v>
      </c>
      <c r="E45" s="6"/>
      <c r="F45" s="215">
        <f t="shared" si="4"/>
        <v>0</v>
      </c>
      <c r="G45" s="56"/>
      <c r="H45" s="56"/>
      <c r="I45" s="56"/>
      <c r="J45" s="56"/>
      <c r="K45" s="56"/>
      <c r="L45" s="56"/>
      <c r="M45" s="38"/>
      <c r="N45" s="4"/>
      <c r="O45" s="30"/>
      <c r="P45" s="4"/>
      <c r="Q45" s="30"/>
      <c r="R45" s="4"/>
      <c r="S45" s="38"/>
      <c r="T45" s="4"/>
      <c r="U45" s="30"/>
      <c r="V45" s="4"/>
      <c r="W45" s="30"/>
      <c r="X45" s="4"/>
      <c r="Y45" s="38"/>
      <c r="Z45" s="4"/>
      <c r="AA45" s="30"/>
      <c r="AB45" s="4"/>
      <c r="AC45" s="30"/>
      <c r="AD45" s="4"/>
      <c r="AE45" s="38"/>
      <c r="AF45" s="4"/>
      <c r="AG45" s="30"/>
      <c r="AH45" s="4"/>
      <c r="AI45" s="30"/>
      <c r="AJ45" s="4"/>
      <c r="AK45" s="38"/>
      <c r="AL45" s="4"/>
      <c r="AM45" s="30"/>
      <c r="AN45" s="4"/>
      <c r="AO45" s="30"/>
      <c r="AP45" s="4"/>
    </row>
    <row r="46" spans="1:42" x14ac:dyDescent="0.25">
      <c r="A46" s="104">
        <f t="shared" si="3"/>
        <v>37</v>
      </c>
      <c r="B46" s="157" t="s">
        <v>103</v>
      </c>
      <c r="C46" s="49">
        <v>2002</v>
      </c>
      <c r="D46" s="50" t="s">
        <v>19</v>
      </c>
      <c r="E46" s="6"/>
      <c r="F46" s="215">
        <f t="shared" si="4"/>
        <v>0</v>
      </c>
      <c r="G46" s="56"/>
      <c r="H46" s="56"/>
      <c r="I46" s="56"/>
      <c r="J46" s="56"/>
      <c r="K46" s="56"/>
      <c r="L46" s="56"/>
      <c r="M46" s="38"/>
      <c r="N46" s="4"/>
      <c r="O46" s="30"/>
      <c r="P46" s="4"/>
      <c r="Q46" s="30"/>
      <c r="R46" s="4"/>
      <c r="S46" s="38"/>
      <c r="T46" s="4"/>
      <c r="U46" s="30"/>
      <c r="V46" s="4"/>
      <c r="W46" s="30"/>
      <c r="X46" s="4"/>
      <c r="Y46" s="38"/>
      <c r="Z46" s="4"/>
      <c r="AA46" s="30"/>
      <c r="AB46" s="4"/>
      <c r="AC46" s="30"/>
      <c r="AD46" s="4"/>
      <c r="AE46" s="38"/>
      <c r="AF46" s="4"/>
      <c r="AG46" s="30"/>
      <c r="AH46" s="4"/>
      <c r="AI46" s="30"/>
      <c r="AJ46" s="4"/>
      <c r="AK46" s="38"/>
      <c r="AL46" s="4"/>
      <c r="AM46" s="30"/>
      <c r="AN46" s="4"/>
      <c r="AO46" s="30"/>
      <c r="AP46" s="4"/>
    </row>
    <row r="47" spans="1:42" x14ac:dyDescent="0.25">
      <c r="A47" s="104">
        <f t="shared" si="3"/>
        <v>37</v>
      </c>
      <c r="B47" s="157" t="s">
        <v>68</v>
      </c>
      <c r="C47" s="49">
        <v>2002</v>
      </c>
      <c r="D47" s="50" t="s">
        <v>27</v>
      </c>
      <c r="E47" s="6"/>
      <c r="F47" s="215">
        <f t="shared" si="4"/>
        <v>0</v>
      </c>
      <c r="G47" s="56"/>
      <c r="H47" s="56"/>
      <c r="I47" s="56"/>
      <c r="J47" s="56"/>
      <c r="K47" s="56"/>
      <c r="L47" s="56"/>
      <c r="M47" s="38"/>
      <c r="N47" s="4"/>
      <c r="O47" s="30"/>
      <c r="P47" s="4"/>
      <c r="Q47" s="30"/>
      <c r="R47" s="4"/>
      <c r="S47" s="38"/>
      <c r="T47" s="4"/>
      <c r="U47" s="30"/>
      <c r="V47" s="4"/>
      <c r="W47" s="30"/>
      <c r="X47" s="4"/>
      <c r="Y47" s="38"/>
      <c r="Z47" s="4"/>
      <c r="AA47" s="30"/>
      <c r="AB47" s="4"/>
      <c r="AC47" s="30"/>
      <c r="AD47" s="4"/>
      <c r="AE47" s="38"/>
      <c r="AF47" s="4"/>
      <c r="AG47" s="30"/>
      <c r="AH47" s="4"/>
      <c r="AI47" s="30"/>
      <c r="AJ47" s="4"/>
      <c r="AK47" s="38"/>
      <c r="AL47" s="4"/>
      <c r="AM47" s="30"/>
      <c r="AN47" s="4"/>
      <c r="AO47" s="30"/>
      <c r="AP47" s="4"/>
    </row>
    <row r="48" spans="1:42" x14ac:dyDescent="0.25">
      <c r="A48" s="104">
        <f t="shared" si="3"/>
        <v>37</v>
      </c>
      <c r="B48" s="157" t="s">
        <v>102</v>
      </c>
      <c r="C48" s="49">
        <v>2003</v>
      </c>
      <c r="D48" s="50" t="s">
        <v>27</v>
      </c>
      <c r="E48" s="6"/>
      <c r="F48" s="215">
        <f t="shared" ref="F48:F53" si="5">N48+P48</f>
        <v>0</v>
      </c>
      <c r="G48" s="56"/>
      <c r="H48" s="56"/>
      <c r="I48" s="56"/>
      <c r="J48" s="56"/>
      <c r="K48" s="56"/>
      <c r="L48" s="56"/>
      <c r="M48" s="38"/>
      <c r="N48" s="4"/>
      <c r="O48" s="30"/>
      <c r="P48" s="4"/>
      <c r="Q48" s="30"/>
      <c r="R48" s="4"/>
      <c r="S48" s="38"/>
      <c r="T48" s="4"/>
      <c r="U48" s="30"/>
      <c r="V48" s="4"/>
      <c r="W48" s="30"/>
      <c r="X48" s="4"/>
      <c r="Y48" s="38"/>
      <c r="Z48" s="4"/>
      <c r="AA48" s="30"/>
      <c r="AB48" s="4"/>
      <c r="AC48" s="30"/>
      <c r="AD48" s="4"/>
      <c r="AE48" s="38"/>
      <c r="AF48" s="4"/>
      <c r="AG48" s="30"/>
      <c r="AH48" s="4"/>
      <c r="AI48" s="30"/>
      <c r="AJ48" s="4"/>
      <c r="AK48" s="38"/>
      <c r="AL48" s="4"/>
      <c r="AM48" s="30"/>
      <c r="AN48" s="4"/>
      <c r="AO48" s="30"/>
      <c r="AP48" s="4"/>
    </row>
    <row r="49" spans="1:42" x14ac:dyDescent="0.25">
      <c r="A49" s="104">
        <f t="shared" si="3"/>
        <v>37</v>
      </c>
      <c r="B49" s="156" t="s">
        <v>96</v>
      </c>
      <c r="C49" s="49">
        <v>2002</v>
      </c>
      <c r="D49" s="50" t="s">
        <v>27</v>
      </c>
      <c r="E49" s="6"/>
      <c r="F49" s="215">
        <f t="shared" si="5"/>
        <v>0</v>
      </c>
      <c r="G49" s="56"/>
      <c r="H49" s="56"/>
      <c r="I49" s="56"/>
      <c r="J49" s="56"/>
      <c r="K49" s="56"/>
      <c r="L49" s="56"/>
      <c r="M49" s="38"/>
      <c r="N49" s="4"/>
      <c r="O49" s="30"/>
      <c r="P49" s="4"/>
      <c r="Q49" s="30"/>
      <c r="R49" s="4"/>
      <c r="S49" s="38"/>
      <c r="T49" s="4"/>
      <c r="U49" s="30"/>
      <c r="V49" s="4"/>
      <c r="W49" s="30"/>
      <c r="X49" s="4"/>
      <c r="Y49" s="38"/>
      <c r="Z49" s="4"/>
      <c r="AA49" s="30"/>
      <c r="AB49" s="4"/>
      <c r="AC49" s="30"/>
      <c r="AD49" s="4"/>
      <c r="AE49" s="38"/>
      <c r="AF49" s="4"/>
      <c r="AG49" s="30"/>
      <c r="AH49" s="4"/>
      <c r="AI49" s="30"/>
      <c r="AJ49" s="4"/>
      <c r="AK49" s="38"/>
      <c r="AL49" s="4"/>
      <c r="AM49" s="30"/>
      <c r="AN49" s="4"/>
      <c r="AO49" s="30"/>
      <c r="AP49" s="4"/>
    </row>
    <row r="50" spans="1:42" x14ac:dyDescent="0.25">
      <c r="A50" s="104">
        <f t="shared" si="3"/>
        <v>37</v>
      </c>
      <c r="B50" s="157" t="s">
        <v>121</v>
      </c>
      <c r="C50" s="49">
        <v>2005</v>
      </c>
      <c r="D50" s="50" t="s">
        <v>27</v>
      </c>
      <c r="E50" s="6"/>
      <c r="F50" s="215">
        <f t="shared" si="5"/>
        <v>0</v>
      </c>
      <c r="G50" s="56"/>
      <c r="H50" s="56"/>
      <c r="I50" s="56"/>
      <c r="J50" s="56"/>
      <c r="K50" s="56"/>
      <c r="L50" s="56"/>
      <c r="M50" s="38"/>
      <c r="N50" s="4"/>
      <c r="O50" s="30"/>
      <c r="P50" s="4"/>
      <c r="Q50" s="30"/>
      <c r="R50" s="4"/>
      <c r="S50" s="38"/>
      <c r="T50" s="4"/>
      <c r="U50" s="30"/>
      <c r="V50" s="4"/>
      <c r="W50" s="30"/>
      <c r="X50" s="4"/>
      <c r="Y50" s="38"/>
      <c r="Z50" s="4"/>
      <c r="AA50" s="30"/>
      <c r="AB50" s="4"/>
      <c r="AC50" s="30"/>
      <c r="AD50" s="4"/>
      <c r="AE50" s="38"/>
      <c r="AF50" s="4"/>
      <c r="AG50" s="30"/>
      <c r="AH50" s="4"/>
      <c r="AI50" s="30"/>
      <c r="AJ50" s="4"/>
      <c r="AK50" s="38"/>
      <c r="AL50" s="4"/>
      <c r="AM50" s="30"/>
      <c r="AN50" s="4"/>
      <c r="AO50" s="30"/>
      <c r="AP50" s="4"/>
    </row>
    <row r="51" spans="1:42" ht="15.75" customHeight="1" x14ac:dyDescent="0.25">
      <c r="A51" s="104">
        <f t="shared" si="3"/>
        <v>37</v>
      </c>
      <c r="B51" s="157" t="s">
        <v>122</v>
      </c>
      <c r="C51" s="49">
        <v>2003</v>
      </c>
      <c r="D51" s="50" t="s">
        <v>27</v>
      </c>
      <c r="E51" s="6"/>
      <c r="F51" s="215">
        <f t="shared" si="5"/>
        <v>0</v>
      </c>
      <c r="G51" s="56"/>
      <c r="H51" s="56"/>
      <c r="I51" s="56"/>
      <c r="J51" s="56"/>
      <c r="K51" s="56"/>
      <c r="L51" s="56"/>
      <c r="M51" s="38"/>
      <c r="N51" s="4"/>
      <c r="O51" s="30"/>
      <c r="P51" s="4"/>
      <c r="Q51" s="30"/>
      <c r="R51" s="4"/>
      <c r="S51" s="38"/>
      <c r="T51" s="4"/>
      <c r="U51" s="30"/>
      <c r="V51" s="4"/>
      <c r="W51" s="30"/>
      <c r="X51" s="4"/>
      <c r="Y51" s="38"/>
      <c r="Z51" s="4"/>
      <c r="AA51" s="30"/>
      <c r="AB51" s="4"/>
      <c r="AC51" s="30"/>
      <c r="AD51" s="4"/>
      <c r="AE51" s="38"/>
      <c r="AF51" s="4"/>
      <c r="AG51" s="30"/>
      <c r="AH51" s="4"/>
      <c r="AI51" s="30"/>
      <c r="AJ51" s="4"/>
      <c r="AK51" s="38"/>
      <c r="AL51" s="4"/>
      <c r="AM51" s="30"/>
      <c r="AN51" s="4"/>
      <c r="AO51" s="30"/>
      <c r="AP51" s="4"/>
    </row>
    <row r="52" spans="1:42" x14ac:dyDescent="0.25">
      <c r="A52" s="104">
        <f t="shared" si="3"/>
        <v>37</v>
      </c>
      <c r="B52" s="156" t="s">
        <v>126</v>
      </c>
      <c r="C52" s="49">
        <v>2004</v>
      </c>
      <c r="D52" s="50">
        <v>1</v>
      </c>
      <c r="E52" s="6"/>
      <c r="F52" s="215">
        <f t="shared" si="5"/>
        <v>0</v>
      </c>
      <c r="G52" s="56"/>
      <c r="H52" s="56"/>
      <c r="I52" s="56"/>
      <c r="J52" s="56"/>
      <c r="K52" s="56"/>
      <c r="L52" s="56"/>
      <c r="M52" s="38"/>
      <c r="N52" s="4"/>
      <c r="O52" s="30"/>
      <c r="P52" s="4"/>
      <c r="Q52" s="30"/>
      <c r="R52" s="4"/>
      <c r="S52" s="38"/>
      <c r="T52" s="4"/>
      <c r="U52" s="30"/>
      <c r="V52" s="4"/>
      <c r="W52" s="30"/>
      <c r="X52" s="4"/>
      <c r="Y52" s="38"/>
      <c r="Z52" s="4"/>
      <c r="AA52" s="30"/>
      <c r="AB52" s="4"/>
      <c r="AC52" s="30"/>
      <c r="AD52" s="4"/>
      <c r="AE52" s="38"/>
      <c r="AF52" s="4"/>
      <c r="AG52" s="30"/>
      <c r="AH52" s="4"/>
      <c r="AI52" s="30"/>
      <c r="AJ52" s="4"/>
      <c r="AK52" s="38"/>
      <c r="AL52" s="4"/>
      <c r="AM52" s="30"/>
      <c r="AN52" s="4"/>
      <c r="AO52" s="30"/>
      <c r="AP52" s="4"/>
    </row>
    <row r="53" spans="1:42" x14ac:dyDescent="0.25">
      <c r="A53" s="104">
        <f t="shared" si="3"/>
        <v>37</v>
      </c>
      <c r="B53" s="157" t="s">
        <v>117</v>
      </c>
      <c r="C53" s="49">
        <v>2004</v>
      </c>
      <c r="D53" s="50" t="s">
        <v>27</v>
      </c>
      <c r="E53" s="6"/>
      <c r="F53" s="215">
        <f t="shared" si="5"/>
        <v>0</v>
      </c>
      <c r="G53" s="56"/>
      <c r="H53" s="56"/>
      <c r="I53" s="56"/>
      <c r="J53" s="56"/>
      <c r="K53" s="56"/>
      <c r="L53" s="56"/>
      <c r="M53" s="38"/>
      <c r="N53" s="4"/>
      <c r="O53" s="30"/>
      <c r="P53" s="4"/>
      <c r="Q53" s="30"/>
      <c r="R53" s="4"/>
      <c r="S53" s="38"/>
      <c r="T53" s="4"/>
      <c r="U53" s="30"/>
      <c r="V53" s="4"/>
      <c r="W53" s="30"/>
      <c r="X53" s="4"/>
      <c r="Y53" s="38"/>
      <c r="Z53" s="4"/>
      <c r="AA53" s="30"/>
      <c r="AB53" s="4"/>
      <c r="AC53" s="30"/>
      <c r="AD53" s="4"/>
      <c r="AE53" s="38"/>
      <c r="AF53" s="4"/>
      <c r="AG53" s="30"/>
      <c r="AH53" s="4"/>
      <c r="AI53" s="30"/>
      <c r="AJ53" s="4"/>
      <c r="AK53" s="38"/>
      <c r="AL53" s="4"/>
      <c r="AM53" s="30"/>
      <c r="AN53" s="4"/>
      <c r="AO53" s="30"/>
      <c r="AP53" s="4"/>
    </row>
    <row r="54" spans="1:42" x14ac:dyDescent="0.25">
      <c r="A54" s="104">
        <f t="shared" si="3"/>
        <v>37</v>
      </c>
      <c r="B54" s="158" t="s">
        <v>110</v>
      </c>
      <c r="C54" s="49">
        <v>2004</v>
      </c>
      <c r="D54" s="50" t="s">
        <v>27</v>
      </c>
      <c r="E54" s="6"/>
      <c r="F54" s="215">
        <f t="shared" ref="F54:F62" si="6">N54</f>
        <v>0</v>
      </c>
      <c r="G54" s="56"/>
      <c r="H54" s="56"/>
      <c r="I54" s="56"/>
      <c r="J54" s="56"/>
      <c r="K54" s="56"/>
      <c r="L54" s="56"/>
      <c r="M54" s="38"/>
      <c r="N54" s="4"/>
      <c r="O54" s="30"/>
      <c r="P54" s="4"/>
      <c r="Q54" s="30"/>
      <c r="R54" s="4"/>
      <c r="S54" s="38"/>
      <c r="T54" s="4"/>
      <c r="U54" s="30"/>
      <c r="V54" s="4"/>
      <c r="W54" s="30"/>
      <c r="X54" s="4"/>
      <c r="Y54" s="38"/>
      <c r="Z54" s="4"/>
      <c r="AA54" s="30"/>
      <c r="AB54" s="4"/>
      <c r="AC54" s="30"/>
      <c r="AD54" s="4"/>
      <c r="AE54" s="38"/>
      <c r="AF54" s="4"/>
      <c r="AG54" s="30"/>
      <c r="AH54" s="4"/>
      <c r="AI54" s="30"/>
      <c r="AJ54" s="4"/>
      <c r="AK54" s="38"/>
      <c r="AL54" s="4"/>
      <c r="AM54" s="30"/>
      <c r="AN54" s="4"/>
      <c r="AO54" s="30"/>
      <c r="AP54" s="4"/>
    </row>
    <row r="55" spans="1:42" x14ac:dyDescent="0.25">
      <c r="A55" s="104">
        <f t="shared" si="3"/>
        <v>37</v>
      </c>
      <c r="B55" s="157" t="s">
        <v>105</v>
      </c>
      <c r="C55" s="49">
        <v>2007</v>
      </c>
      <c r="D55" s="50" t="s">
        <v>93</v>
      </c>
      <c r="E55" s="6"/>
      <c r="F55" s="216">
        <f t="shared" si="6"/>
        <v>0</v>
      </c>
      <c r="G55" s="56"/>
      <c r="H55" s="56"/>
      <c r="I55" s="56"/>
      <c r="J55" s="56"/>
      <c r="K55" s="56"/>
      <c r="L55" s="56"/>
      <c r="M55" s="38"/>
      <c r="N55" s="4"/>
      <c r="O55" s="30"/>
      <c r="P55" s="4"/>
      <c r="Q55" s="30"/>
      <c r="R55" s="4"/>
      <c r="S55" s="38"/>
      <c r="T55" s="4"/>
      <c r="U55" s="30"/>
      <c r="V55" s="4"/>
      <c r="W55" s="30"/>
      <c r="X55" s="4"/>
      <c r="Y55" s="38"/>
      <c r="Z55" s="4"/>
      <c r="AA55" s="30"/>
      <c r="AB55" s="4"/>
      <c r="AC55" s="30"/>
      <c r="AD55" s="4"/>
      <c r="AE55" s="38"/>
      <c r="AF55" s="4"/>
      <c r="AG55" s="30"/>
      <c r="AH55" s="4"/>
      <c r="AI55" s="30"/>
      <c r="AJ55" s="4"/>
      <c r="AK55" s="38"/>
      <c r="AL55" s="4"/>
      <c r="AM55" s="30"/>
      <c r="AN55" s="4"/>
      <c r="AO55" s="30"/>
      <c r="AP55" s="4"/>
    </row>
    <row r="56" spans="1:42" x14ac:dyDescent="0.25">
      <c r="A56" s="104">
        <f t="shared" si="3"/>
        <v>37</v>
      </c>
      <c r="B56" s="157" t="s">
        <v>119</v>
      </c>
      <c r="C56" s="49">
        <v>2004</v>
      </c>
      <c r="D56" s="50" t="s">
        <v>27</v>
      </c>
      <c r="E56" s="6"/>
      <c r="F56" s="216">
        <f t="shared" si="6"/>
        <v>0</v>
      </c>
      <c r="G56" s="56"/>
      <c r="H56" s="56"/>
      <c r="I56" s="56"/>
      <c r="J56" s="56"/>
      <c r="K56" s="56"/>
      <c r="L56" s="56"/>
      <c r="M56" s="38"/>
      <c r="N56" s="4"/>
      <c r="O56" s="30"/>
      <c r="P56" s="4"/>
      <c r="Q56" s="30"/>
      <c r="R56" s="4"/>
      <c r="S56" s="38"/>
      <c r="T56" s="4"/>
      <c r="U56" s="30"/>
      <c r="V56" s="4"/>
      <c r="W56" s="30"/>
      <c r="X56" s="4"/>
      <c r="Y56" s="38"/>
      <c r="Z56" s="4"/>
      <c r="AA56" s="30"/>
      <c r="AB56" s="4"/>
      <c r="AC56" s="30"/>
      <c r="AD56" s="4"/>
      <c r="AE56" s="38"/>
      <c r="AF56" s="4"/>
      <c r="AG56" s="30"/>
      <c r="AH56" s="4"/>
      <c r="AI56" s="30"/>
      <c r="AJ56" s="4"/>
      <c r="AK56" s="38"/>
      <c r="AL56" s="4"/>
      <c r="AM56" s="30"/>
      <c r="AN56" s="4"/>
      <c r="AO56" s="30"/>
      <c r="AP56" s="4"/>
    </row>
    <row r="57" spans="1:42" x14ac:dyDescent="0.25">
      <c r="A57" s="104">
        <f t="shared" si="3"/>
        <v>37</v>
      </c>
      <c r="B57" s="156" t="s">
        <v>92</v>
      </c>
      <c r="C57" s="49">
        <v>2004</v>
      </c>
      <c r="D57" s="50" t="s">
        <v>93</v>
      </c>
      <c r="E57" s="6"/>
      <c r="F57" s="216">
        <f t="shared" si="6"/>
        <v>0</v>
      </c>
      <c r="G57" s="56"/>
      <c r="H57" s="56"/>
      <c r="I57" s="56"/>
      <c r="J57" s="56"/>
      <c r="K57" s="56"/>
      <c r="L57" s="56"/>
      <c r="M57" s="38"/>
      <c r="N57" s="4"/>
      <c r="O57" s="30"/>
      <c r="P57" s="4"/>
      <c r="Q57" s="30"/>
      <c r="R57" s="4"/>
      <c r="S57" s="38"/>
      <c r="T57" s="4"/>
      <c r="U57" s="30"/>
      <c r="V57" s="4"/>
      <c r="W57" s="30"/>
      <c r="X57" s="4"/>
      <c r="Y57" s="38"/>
      <c r="Z57" s="4"/>
      <c r="AA57" s="30"/>
      <c r="AB57" s="4"/>
      <c r="AC57" s="30"/>
      <c r="AD57" s="4"/>
      <c r="AE57" s="38"/>
      <c r="AF57" s="4"/>
      <c r="AG57" s="30"/>
      <c r="AH57" s="4"/>
      <c r="AI57" s="30"/>
      <c r="AJ57" s="4"/>
      <c r="AK57" s="38"/>
      <c r="AL57" s="4"/>
      <c r="AM57" s="30"/>
      <c r="AN57" s="4"/>
      <c r="AO57" s="30"/>
      <c r="AP57" s="4"/>
    </row>
    <row r="58" spans="1:42" x14ac:dyDescent="0.25">
      <c r="A58" s="104">
        <f t="shared" si="3"/>
        <v>37</v>
      </c>
      <c r="B58" s="156" t="s">
        <v>111</v>
      </c>
      <c r="C58" s="51">
        <v>2006</v>
      </c>
      <c r="D58" s="51" t="s">
        <v>93</v>
      </c>
      <c r="E58" s="6"/>
      <c r="F58" s="216">
        <f t="shared" si="6"/>
        <v>0</v>
      </c>
      <c r="G58" s="56"/>
      <c r="H58" s="56"/>
      <c r="I58" s="56"/>
      <c r="J58" s="56"/>
      <c r="K58" s="56"/>
      <c r="L58" s="56"/>
      <c r="M58" s="38"/>
      <c r="N58" s="4"/>
      <c r="O58" s="30"/>
      <c r="P58" s="4"/>
      <c r="Q58" s="30"/>
      <c r="R58" s="4"/>
      <c r="S58" s="38"/>
      <c r="T58" s="4"/>
      <c r="U58" s="30"/>
      <c r="V58" s="4"/>
      <c r="W58" s="30"/>
      <c r="X58" s="4"/>
      <c r="Y58" s="38"/>
      <c r="Z58" s="4"/>
      <c r="AA58" s="30"/>
      <c r="AB58" s="4"/>
      <c r="AC58" s="30"/>
      <c r="AD58" s="4"/>
      <c r="AE58" s="38"/>
      <c r="AF58" s="4"/>
      <c r="AG58" s="30"/>
      <c r="AH58" s="4"/>
      <c r="AI58" s="30"/>
      <c r="AJ58" s="4"/>
      <c r="AK58" s="38"/>
      <c r="AL58" s="4"/>
      <c r="AM58" s="30"/>
      <c r="AN58" s="4"/>
      <c r="AO58" s="30"/>
      <c r="AP58" s="4"/>
    </row>
    <row r="59" spans="1:42" x14ac:dyDescent="0.25">
      <c r="A59" s="104">
        <f t="shared" si="3"/>
        <v>37</v>
      </c>
      <c r="B59" s="156" t="s">
        <v>136</v>
      </c>
      <c r="C59" s="49">
        <v>2005</v>
      </c>
      <c r="D59" s="50" t="s">
        <v>27</v>
      </c>
      <c r="E59" s="6"/>
      <c r="F59" s="216">
        <f t="shared" si="6"/>
        <v>0</v>
      </c>
      <c r="G59" s="56"/>
      <c r="H59" s="56"/>
      <c r="I59" s="56"/>
      <c r="J59" s="56"/>
      <c r="K59" s="56"/>
      <c r="L59" s="56"/>
      <c r="M59" s="38"/>
      <c r="N59" s="4"/>
      <c r="O59" s="30"/>
      <c r="P59" s="4"/>
      <c r="Q59" s="30"/>
      <c r="R59" s="4"/>
      <c r="S59" s="38"/>
      <c r="T59" s="4"/>
      <c r="U59" s="30"/>
      <c r="V59" s="4"/>
      <c r="W59" s="30"/>
      <c r="X59" s="4"/>
      <c r="Y59" s="38"/>
      <c r="Z59" s="4"/>
      <c r="AA59" s="30"/>
      <c r="AB59" s="4"/>
      <c r="AC59" s="30"/>
      <c r="AD59" s="4"/>
      <c r="AE59" s="38"/>
      <c r="AF59" s="4"/>
      <c r="AG59" s="30"/>
      <c r="AH59" s="4"/>
      <c r="AI59" s="30"/>
      <c r="AJ59" s="4"/>
      <c r="AK59" s="38"/>
      <c r="AL59" s="4"/>
      <c r="AM59" s="30"/>
      <c r="AN59" s="4"/>
      <c r="AO59" s="30"/>
      <c r="AP59" s="4"/>
    </row>
    <row r="60" spans="1:42" x14ac:dyDescent="0.25">
      <c r="A60" s="104">
        <f t="shared" si="3"/>
        <v>37</v>
      </c>
      <c r="B60" s="157" t="s">
        <v>137</v>
      </c>
      <c r="C60" s="49">
        <v>2005</v>
      </c>
      <c r="D60" s="50" t="s">
        <v>93</v>
      </c>
      <c r="E60" s="6"/>
      <c r="F60" s="216">
        <f t="shared" si="6"/>
        <v>0</v>
      </c>
      <c r="G60" s="56"/>
      <c r="H60" s="56"/>
      <c r="I60" s="56"/>
      <c r="J60" s="56"/>
      <c r="K60" s="56"/>
      <c r="L60" s="56"/>
      <c r="M60" s="38"/>
      <c r="N60" s="4"/>
      <c r="O60" s="30"/>
      <c r="P60" s="4"/>
      <c r="Q60" s="30"/>
      <c r="R60" s="4"/>
      <c r="S60" s="38"/>
      <c r="T60" s="4"/>
      <c r="U60" s="30"/>
      <c r="V60" s="4"/>
      <c r="W60" s="30"/>
      <c r="X60" s="4"/>
      <c r="Y60" s="38"/>
      <c r="Z60" s="4"/>
      <c r="AA60" s="30"/>
      <c r="AB60" s="4"/>
      <c r="AC60" s="30"/>
      <c r="AD60" s="4"/>
      <c r="AE60" s="38"/>
      <c r="AF60" s="4"/>
      <c r="AG60" s="30"/>
      <c r="AH60" s="4"/>
      <c r="AI60" s="30"/>
      <c r="AJ60" s="4"/>
      <c r="AK60" s="38"/>
      <c r="AL60" s="4"/>
      <c r="AM60" s="30"/>
      <c r="AN60" s="4"/>
      <c r="AO60" s="30"/>
      <c r="AP60" s="4"/>
    </row>
    <row r="61" spans="1:42" x14ac:dyDescent="0.25">
      <c r="A61" s="104">
        <f t="shared" si="3"/>
        <v>37</v>
      </c>
      <c r="B61" s="156" t="s">
        <v>112</v>
      </c>
      <c r="C61" s="51">
        <v>2002</v>
      </c>
      <c r="D61" s="51" t="s">
        <v>27</v>
      </c>
      <c r="E61" s="6"/>
      <c r="F61" s="216">
        <f t="shared" si="6"/>
        <v>0</v>
      </c>
      <c r="G61" s="56"/>
      <c r="H61" s="56"/>
      <c r="I61" s="56"/>
      <c r="J61" s="56"/>
      <c r="K61" s="56"/>
      <c r="L61" s="56"/>
      <c r="M61" s="38"/>
      <c r="N61" s="4"/>
      <c r="O61" s="30"/>
      <c r="P61" s="4"/>
      <c r="Q61" s="30"/>
      <c r="R61" s="4"/>
      <c r="S61" s="38"/>
      <c r="T61" s="4"/>
      <c r="U61" s="30"/>
      <c r="V61" s="4"/>
      <c r="W61" s="30"/>
      <c r="X61" s="4"/>
      <c r="Y61" s="38"/>
      <c r="Z61" s="4"/>
      <c r="AA61" s="30"/>
      <c r="AB61" s="4"/>
      <c r="AC61" s="30"/>
      <c r="AD61" s="4"/>
      <c r="AE61" s="38"/>
      <c r="AF61" s="4"/>
      <c r="AG61" s="30"/>
      <c r="AH61" s="4"/>
      <c r="AI61" s="30"/>
      <c r="AJ61" s="4"/>
      <c r="AK61" s="38"/>
      <c r="AL61" s="4"/>
      <c r="AM61" s="30"/>
      <c r="AN61" s="4"/>
      <c r="AO61" s="30"/>
      <c r="AP61" s="4"/>
    </row>
    <row r="62" spans="1:42" x14ac:dyDescent="0.25">
      <c r="A62" s="104">
        <f t="shared" si="3"/>
        <v>37</v>
      </c>
      <c r="B62" s="157" t="s">
        <v>99</v>
      </c>
      <c r="C62" s="49">
        <v>2004</v>
      </c>
      <c r="D62" s="50" t="s">
        <v>27</v>
      </c>
      <c r="E62" s="6"/>
      <c r="F62" s="216">
        <f t="shared" si="6"/>
        <v>0</v>
      </c>
      <c r="G62" s="56"/>
      <c r="H62" s="56"/>
      <c r="I62" s="56"/>
      <c r="J62" s="56"/>
      <c r="K62" s="56"/>
      <c r="L62" s="56"/>
      <c r="M62" s="38"/>
      <c r="N62" s="4"/>
      <c r="O62" s="30"/>
      <c r="P62" s="4"/>
      <c r="Q62" s="30"/>
      <c r="R62" s="4"/>
      <c r="S62" s="38"/>
      <c r="T62" s="4"/>
      <c r="U62" s="30"/>
      <c r="V62" s="4"/>
      <c r="W62" s="30"/>
      <c r="X62" s="4"/>
      <c r="Y62" s="38"/>
      <c r="Z62" s="4"/>
      <c r="AA62" s="30"/>
      <c r="AB62" s="4"/>
      <c r="AC62" s="30"/>
      <c r="AD62" s="4"/>
      <c r="AE62" s="38"/>
      <c r="AF62" s="4"/>
      <c r="AG62" s="30"/>
      <c r="AH62" s="4"/>
      <c r="AI62" s="30"/>
      <c r="AJ62" s="4"/>
      <c r="AK62" s="38"/>
      <c r="AL62" s="4"/>
      <c r="AM62" s="30"/>
      <c r="AN62" s="4"/>
      <c r="AO62" s="30"/>
      <c r="AP62" s="4"/>
    </row>
    <row r="63" spans="1:42" x14ac:dyDescent="0.25">
      <c r="A63" s="104">
        <f t="shared" si="3"/>
        <v>37</v>
      </c>
      <c r="B63" s="156" t="s">
        <v>55</v>
      </c>
      <c r="C63" s="49">
        <v>2002</v>
      </c>
      <c r="D63" s="50" t="s">
        <v>27</v>
      </c>
      <c r="E63" s="6"/>
      <c r="F63" s="216">
        <v>0</v>
      </c>
      <c r="G63" s="56"/>
      <c r="H63" s="56"/>
      <c r="I63" s="56"/>
      <c r="J63" s="56"/>
      <c r="K63" s="56"/>
      <c r="L63" s="56"/>
      <c r="M63" s="38"/>
      <c r="N63" s="4"/>
      <c r="O63" s="30"/>
      <c r="P63" s="4"/>
      <c r="Q63" s="30"/>
      <c r="R63" s="4"/>
      <c r="S63" s="38"/>
      <c r="T63" s="4"/>
      <c r="U63" s="30"/>
      <c r="V63" s="4"/>
      <c r="W63" s="30"/>
      <c r="X63" s="4"/>
      <c r="Y63" s="38"/>
      <c r="Z63" s="4"/>
      <c r="AA63" s="30"/>
      <c r="AB63" s="4"/>
      <c r="AC63" s="30"/>
      <c r="AD63" s="4"/>
      <c r="AE63" s="38"/>
      <c r="AF63" s="4"/>
      <c r="AG63" s="30"/>
      <c r="AH63" s="4"/>
      <c r="AI63" s="30"/>
      <c r="AJ63" s="4"/>
      <c r="AK63" s="38"/>
      <c r="AL63" s="4"/>
      <c r="AM63" s="30"/>
      <c r="AN63" s="4"/>
      <c r="AO63" s="30"/>
      <c r="AP63" s="4"/>
    </row>
    <row r="64" spans="1:42" x14ac:dyDescent="0.25">
      <c r="A64" s="104">
        <f t="shared" si="3"/>
        <v>37</v>
      </c>
      <c r="B64" s="156" t="s">
        <v>95</v>
      </c>
      <c r="C64" s="49">
        <v>2006</v>
      </c>
      <c r="D64" s="50">
        <v>2</v>
      </c>
      <c r="E64" s="6"/>
      <c r="F64" s="216">
        <v>0</v>
      </c>
      <c r="G64" s="56"/>
      <c r="H64" s="56"/>
      <c r="I64" s="56"/>
      <c r="J64" s="56"/>
      <c r="K64" s="56"/>
      <c r="L64" s="56"/>
      <c r="M64" s="38"/>
      <c r="N64" s="4"/>
      <c r="O64" s="30"/>
      <c r="P64" s="4"/>
      <c r="Q64" s="30"/>
      <c r="R64" s="4"/>
      <c r="S64" s="38"/>
      <c r="T64" s="4"/>
      <c r="U64" s="30"/>
      <c r="V64" s="4"/>
      <c r="W64" s="30"/>
      <c r="X64" s="4"/>
      <c r="Y64" s="38"/>
      <c r="Z64" s="4"/>
      <c r="AA64" s="30"/>
      <c r="AB64" s="4"/>
      <c r="AC64" s="30"/>
      <c r="AD64" s="4"/>
      <c r="AE64" s="38"/>
      <c r="AF64" s="4"/>
      <c r="AG64" s="30"/>
      <c r="AH64" s="4"/>
      <c r="AI64" s="30"/>
      <c r="AJ64" s="4"/>
      <c r="AK64" s="38"/>
      <c r="AL64" s="4"/>
      <c r="AM64" s="30"/>
      <c r="AN64" s="4"/>
      <c r="AO64" s="30"/>
      <c r="AP64" s="4"/>
    </row>
    <row r="65" spans="1:42" x14ac:dyDescent="0.25">
      <c r="A65" s="104">
        <f t="shared" si="3"/>
        <v>37</v>
      </c>
      <c r="B65" s="156" t="s">
        <v>108</v>
      </c>
      <c r="C65" s="49">
        <v>2004</v>
      </c>
      <c r="D65" s="50">
        <v>1</v>
      </c>
      <c r="E65" s="6"/>
      <c r="F65" s="216">
        <v>0</v>
      </c>
      <c r="G65" s="56"/>
      <c r="H65" s="56"/>
      <c r="I65" s="56"/>
      <c r="J65" s="56"/>
      <c r="K65" s="56"/>
      <c r="L65" s="56"/>
      <c r="M65" s="38"/>
      <c r="N65" s="4"/>
      <c r="O65" s="30"/>
      <c r="P65" s="4"/>
      <c r="Q65" s="30"/>
      <c r="R65" s="4"/>
      <c r="S65" s="38"/>
      <c r="T65" s="4"/>
      <c r="U65" s="30"/>
      <c r="V65" s="4"/>
      <c r="W65" s="30"/>
      <c r="X65" s="4"/>
      <c r="Y65" s="38"/>
      <c r="Z65" s="4"/>
      <c r="AA65" s="30"/>
      <c r="AB65" s="4"/>
      <c r="AC65" s="30"/>
      <c r="AD65" s="4"/>
      <c r="AE65" s="38"/>
      <c r="AF65" s="4"/>
      <c r="AG65" s="30"/>
      <c r="AH65" s="4"/>
      <c r="AI65" s="30"/>
      <c r="AJ65" s="4"/>
      <c r="AK65" s="38"/>
      <c r="AL65" s="4"/>
      <c r="AM65" s="30"/>
      <c r="AN65" s="4"/>
      <c r="AO65" s="30"/>
      <c r="AP65" s="4"/>
    </row>
    <row r="66" spans="1:42" ht="15.75" thickBot="1" x14ac:dyDescent="0.3">
      <c r="A66" s="161">
        <f t="shared" si="3"/>
        <v>37</v>
      </c>
      <c r="B66" s="156" t="s">
        <v>223</v>
      </c>
      <c r="C66" s="49">
        <v>2003</v>
      </c>
      <c r="D66" s="50">
        <v>1</v>
      </c>
      <c r="E66" s="6"/>
      <c r="F66" s="217"/>
      <c r="G66" s="56"/>
      <c r="H66" s="56"/>
      <c r="I66" s="56"/>
      <c r="J66" s="56"/>
      <c r="K66" s="56"/>
      <c r="L66" s="56"/>
      <c r="M66" s="38"/>
      <c r="N66" s="4"/>
      <c r="O66" s="30"/>
      <c r="P66" s="4"/>
      <c r="Q66" s="30"/>
      <c r="R66" s="4"/>
      <c r="S66" s="38"/>
      <c r="T66" s="4"/>
      <c r="U66" s="30"/>
      <c r="V66" s="4"/>
      <c r="W66" s="30"/>
      <c r="X66" s="4"/>
      <c r="Y66" s="38"/>
      <c r="Z66" s="4"/>
      <c r="AA66" s="30"/>
      <c r="AB66" s="4"/>
      <c r="AC66" s="30"/>
      <c r="AD66" s="4"/>
      <c r="AE66" s="38"/>
      <c r="AF66" s="4"/>
      <c r="AG66" s="30"/>
      <c r="AH66" s="4"/>
      <c r="AI66" s="30"/>
      <c r="AJ66" s="4"/>
      <c r="AK66" s="38"/>
      <c r="AL66" s="4"/>
      <c r="AM66" s="30"/>
      <c r="AN66" s="4"/>
      <c r="AO66" s="30"/>
      <c r="AP66" s="4"/>
    </row>
  </sheetData>
  <sortState ref="A5:AP66">
    <sortCondition ref="A5:A66"/>
  </sortState>
  <mergeCells count="31">
    <mergeCell ref="AE2:AJ2"/>
    <mergeCell ref="AE3:AF3"/>
    <mergeCell ref="AG3:AH3"/>
    <mergeCell ref="AI3:AJ3"/>
    <mergeCell ref="Y2:AD2"/>
    <mergeCell ref="Y3:Z3"/>
    <mergeCell ref="AA3:AB3"/>
    <mergeCell ref="AC3:AD3"/>
    <mergeCell ref="M3:N3"/>
    <mergeCell ref="O3:P3"/>
    <mergeCell ref="Q3:R3"/>
    <mergeCell ref="G2:L2"/>
    <mergeCell ref="G3:H3"/>
    <mergeCell ref="I3:J3"/>
    <mergeCell ref="K3:L3"/>
    <mergeCell ref="AK2:AP2"/>
    <mergeCell ref="AK3:AL3"/>
    <mergeCell ref="AM3:AN3"/>
    <mergeCell ref="AO3:AP3"/>
    <mergeCell ref="A2:A4"/>
    <mergeCell ref="B2:D2"/>
    <mergeCell ref="B3:B4"/>
    <mergeCell ref="C3:C4"/>
    <mergeCell ref="D3:D4"/>
    <mergeCell ref="S2:X2"/>
    <mergeCell ref="S3:T3"/>
    <mergeCell ref="U3:V3"/>
    <mergeCell ref="W3:X3"/>
    <mergeCell ref="F2:F4"/>
    <mergeCell ref="M2:R2"/>
    <mergeCell ref="E3:E4"/>
  </mergeCells>
  <pageMargins left="0.7" right="0.7" top="0.75" bottom="0.75" header="0.3" footer="0.3"/>
  <pageSetup paperSize="9" scale="5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основной</vt:lpstr>
      <vt:lpstr>подводящий</vt:lpstr>
      <vt:lpstr>ю25</vt:lpstr>
      <vt:lpstr>юниоры</vt:lpstr>
      <vt:lpstr>юноши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2021-11-09T07:13:43Z</dcterms:modified>
</cp:coreProperties>
</file>